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harts/chart2.xml" ContentType="application/vnd.openxmlformats-officedocument.drawingml.chart+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harts/chart3.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4.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5.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6.xml" ContentType="application/vnd.openxmlformats-officedocument.drawingml.chart+xml"/>
  <Override PartName="/xl/drawings/drawing15.xml" ContentType="application/vnd.openxmlformats-officedocument.drawing+xml"/>
  <Override PartName="/xl/comments15.xml" ContentType="application/vnd.openxmlformats-officedocument.spreadsheetml.comments+xml"/>
  <Override PartName="/xl/charts/chart7.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charts/chart8.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Q:\Project Data\GlacierData\Benchmark_Program\Data\Wolverine\2025\"/>
    </mc:Choice>
  </mc:AlternateContent>
  <xr:revisionPtr revIDLastSave="0" documentId="13_ncr:1_{69685E21-E242-45E1-9863-A19477B44A75}" xr6:coauthVersionLast="47" xr6:coauthVersionMax="47" xr10:uidLastSave="{00000000-0000-0000-0000-000000000000}"/>
  <bookViews>
    <workbookView xWindow="-38520" yWindow="1935" windowWidth="38640" windowHeight="21120" tabRatio="816" activeTab="8" xr2:uid="{00000000-000D-0000-FFFF-FFFF00000000}"/>
  </bookViews>
  <sheets>
    <sheet name="Stake Summary" sheetId="1" r:id="rId1"/>
    <sheet name="AUU" sheetId="34" r:id="rId2"/>
    <sheet name="N" sheetId="3" r:id="rId3"/>
    <sheet name="B" sheetId="4" r:id="rId4"/>
    <sheet name="S" sheetId="5" r:id="rId5"/>
    <sheet name="C" sheetId="6" r:id="rId6"/>
    <sheet name="TU" sheetId="7" r:id="rId7"/>
    <sheet name="Y" sheetId="8" r:id="rId8"/>
    <sheet name="EC" sheetId="9" r:id="rId9"/>
    <sheet name="SiteAUU_Pit_20250510" sheetId="37" r:id="rId10"/>
    <sheet name="SiteN_Probes_20250508" sheetId="47" r:id="rId11"/>
    <sheet name="SiteB_PitCore_20250507" sheetId="38" r:id="rId12"/>
    <sheet name="SiteS_PitCore_20250507" sheetId="43" r:id="rId13"/>
    <sheet name="SiteC_PitCore_20250508" sheetId="35" r:id="rId14"/>
    <sheet name="SiteTU_PitCore_20250508" sheetId="40" r:id="rId15"/>
    <sheet name="SiteY_PitCore_20250508" sheetId="39" r:id="rId16"/>
    <sheet name="SiteEC_FirnCore_20250509" sheetId="36" r:id="rId17"/>
    <sheet name="QAQC" sheetId="44" r:id="rId18"/>
  </sheets>
  <externalReferences>
    <externalReference r:id="rId19"/>
    <externalReference r:id="rId20"/>
    <externalReference r:id="rId21"/>
    <externalReference r:id="rId22"/>
    <externalReference r:id="rId23"/>
  </externalReferences>
  <definedNames>
    <definedName name="a" localSheetId="9">#REF!</definedName>
    <definedName name="a" localSheetId="11">#REF!</definedName>
    <definedName name="a" localSheetId="13">#REF!</definedName>
    <definedName name="a" localSheetId="16">#REF!</definedName>
    <definedName name="a" localSheetId="10">#REF!</definedName>
    <definedName name="a" localSheetId="14">#REF!</definedName>
    <definedName name="a" localSheetId="15">#REF!</definedName>
    <definedName name="a">#REF!</definedName>
    <definedName name="b" localSheetId="13">#REF!</definedName>
    <definedName name="b" localSheetId="16">#REF!</definedName>
    <definedName name="b" localSheetId="10">#REF!</definedName>
    <definedName name="b" localSheetId="14">#REF!</definedName>
    <definedName name="b" localSheetId="15">#REF!</definedName>
    <definedName name="b">#REF!</definedName>
    <definedName name="b?">#REF!</definedName>
    <definedName name="BasAlt" localSheetId="9">{1181,1250,1350,1450,1550,1650,1750,1850,1950,2050,2150,2250,2350,2436.5}</definedName>
    <definedName name="BasAlt" localSheetId="11">{1181,1250,1350,1450,1550,1650,1750,1850,1950,2050,2150,2250,2350,2436.5}</definedName>
    <definedName name="BasAlt" localSheetId="13">{1181,1250,1350,1450,1550,1650,1750,1850,1950,2050,2150,2250,2350,2436.5}</definedName>
    <definedName name="BasAlt" localSheetId="16">{1181,1250,1350,1450,1550,1650,1750,1850,1950,2050,2150,2250,2350,2436.5}</definedName>
    <definedName name="BasAlt" localSheetId="10">{1181,1250,1350,1450,1550,1650,1750,1850,1950,2050,2150,2250,2350,2436.5}</definedName>
    <definedName name="BasAlt" localSheetId="14">{1181,1250,1350,1450,1550,1650,1750,1850,1950,2050,2150,2250,2350,2436.5}</definedName>
    <definedName name="BasAlt" localSheetId="15">{1181,1250,1350,1450,1550,1650,1750,1850,1950,2050,2150,2250,2350,2436.5}</definedName>
    <definedName name="BasAlt">{1181,1250,1350,1450,1550,1650,1750,1850,1950,2050,2150,2250,2350,2436.5}</definedName>
    <definedName name="BasAlt2009" localSheetId="9">{1181,1250,1350,1450,1550,1650,1750,1850,1950,2050,2150,2250,2350,2436.5}</definedName>
    <definedName name="BasAlt2009" localSheetId="11">{1181,1250,1350,1450,1550,1650,1750,1850,1950,2050,2150,2250,2350,2436.5}</definedName>
    <definedName name="BasAlt2009" localSheetId="13">{1181,1250,1350,1450,1550,1650,1750,1850,1950,2050,2150,2250,2350,2436.5}</definedName>
    <definedName name="BasAlt2009" localSheetId="16">{1181,1250,1350,1450,1550,1650,1750,1850,1950,2050,2150,2250,2350,2436.5}</definedName>
    <definedName name="BasAlt2009" localSheetId="10">{1181,1250,1350,1450,1550,1650,1750,1850,1950,2050,2150,2250,2350,2436.5}</definedName>
    <definedName name="BasAlt2009" localSheetId="14">{1181,1250,1350,1450,1550,1650,1750,1850,1950,2050,2150,2250,2350,2436.5}</definedName>
    <definedName name="BasAlt2009" localSheetId="15">{1181,1250,1350,1450,1550,1650,1750,1850,1950,2050,2150,2250,2350,2436.5}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9">{1181,1250,1350,1450,1550,1650,1750,1850,1950,2050,2150,2250,2350,2436.5}</definedName>
    <definedName name="GlacAlt" localSheetId="11">{1181,1250,1350,1450,1550,1650,1750,1850,1950,2050,2150,2250,2350,2436.5}</definedName>
    <definedName name="GlacAlt" localSheetId="13">{1181,1250,1350,1450,1550,1650,1750,1850,1950,2050,2150,2250,2350,2436.5}</definedName>
    <definedName name="GlacAlt" localSheetId="16">{1181,1250,1350,1450,1550,1650,1750,1850,1950,2050,2150,2250,2350,2436.5}</definedName>
    <definedName name="GlacAlt" localSheetId="10">{1181,1250,1350,1450,1550,1650,1750,1850,1950,2050,2150,2250,2350,2436.5}</definedName>
    <definedName name="GlacAlt" localSheetId="14">{1181,1250,1350,1450,1550,1650,1750,1850,1950,2050,2150,2250,2350,2436.5}</definedName>
    <definedName name="GlacAlt" localSheetId="15">{1181,1250,1350,1450,1550,1650,1750,1850,1950,2050,2150,2250,2350,2436.5}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9">{1181,1250,1350,1450,1550,1650,1750,1850,1950,2050,2150,2250,2350,2436.5}</definedName>
    <definedName name="name" localSheetId="11">{1181,1250,1350,1450,1550,1650,1750,1850,1950,2050,2150,2250,2350,2436.5}</definedName>
    <definedName name="name" localSheetId="13">{1181,1250,1350,1450,1550,1650,1750,1850,1950,2050,2150,2250,2350,2436.5}</definedName>
    <definedName name="name" localSheetId="16">{1181,1250,1350,1450,1550,1650,1750,1850,1950,2050,2150,2250,2350,2436.5}</definedName>
    <definedName name="name" localSheetId="10">{1181,1250,1350,1450,1550,1650,1750,1850,1950,2050,2150,2250,2350,2436.5}</definedName>
    <definedName name="name" localSheetId="14">{1181,1250,1350,1450,1550,1650,1750,1850,1950,2050,2150,2250,2350,2436.5}</definedName>
    <definedName name="name" localSheetId="15">{1181,1250,1350,1450,1550,1650,1750,1850,1950,2050,2150,2250,2350,2436.5}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9">SiteAUU_Pit_20250510!#REF!</definedName>
    <definedName name="Sample_TypeAu" localSheetId="11">[2]Pit_Sheet!#REF!</definedName>
    <definedName name="Sample_TypeAu" localSheetId="13">[2]Pit_Sheet!#REF!</definedName>
    <definedName name="Sample_TypeAu" localSheetId="16">[2]Pit_Sheet!#REF!</definedName>
    <definedName name="Sample_TypeAu" localSheetId="10">[3]Pit_Sheet!#REF!</definedName>
    <definedName name="Sample_TypeAu" localSheetId="14">[2]Pit_Sheet!#REF!</definedName>
    <definedName name="Sample_TypeAu" localSheetId="15">[2]Pit_Sheet!#REF!</definedName>
    <definedName name="Sample_TypeAu">#REF!</definedName>
    <definedName name="SampleType" localSheetId="9">#REF!</definedName>
    <definedName name="SampleType" localSheetId="11">#REF!</definedName>
    <definedName name="SampleType" localSheetId="13">#REF!</definedName>
    <definedName name="SampleType" localSheetId="16">#REF!</definedName>
    <definedName name="SampleType" localSheetId="10">#REF!</definedName>
    <definedName name="SampleType" localSheetId="14">#REF!</definedName>
    <definedName name="SampleType" localSheetId="15">#REF!</definedName>
    <definedName name="SampleType">#REF!</definedName>
    <definedName name="SampleType1" localSheetId="9">#REF!</definedName>
    <definedName name="SampleType1" localSheetId="11">#REF!</definedName>
    <definedName name="SampleType1" localSheetId="13">#REF!</definedName>
    <definedName name="SampleType1" localSheetId="16">#REF!</definedName>
    <definedName name="SampleType1" localSheetId="10">#REF!</definedName>
    <definedName name="SampleType1" localSheetId="14">#REF!</definedName>
    <definedName name="SampleType1" localSheetId="15">#REF!</definedName>
    <definedName name="SampleType1">#REF!</definedName>
    <definedName name="SampleTypeAU" localSheetId="9">#REF!</definedName>
    <definedName name="SampleTypeAU" localSheetId="11">#REF!</definedName>
    <definedName name="SampleTypeAU" localSheetId="13">#REF!</definedName>
    <definedName name="SampleTypeAU" localSheetId="16">#REF!</definedName>
    <definedName name="SampleTypeAU" localSheetId="10">#REF!</definedName>
    <definedName name="SampleTypeAU" localSheetId="14">#REF!</definedName>
    <definedName name="SampleTypeAU" localSheetId="15">#REF!</definedName>
    <definedName name="SampleTypeAU">#REF!</definedName>
    <definedName name="SampleTypeC">#REF!</definedName>
    <definedName name="SampletypeD">#REF!</definedName>
    <definedName name="SampletypeS">#REF!</definedName>
    <definedName name="SampleTypeX">#REF!</definedName>
    <definedName name="SampleTypeY">#REF!</definedName>
    <definedName name="SBDerr">0.5</definedName>
    <definedName name="Serr">5</definedName>
    <definedName name="Sipri_xsection">'[4]99.05.14'!$M$3</definedName>
    <definedName name="SipriXsection">'[4]00.05.12'!$M$3</definedName>
    <definedName name="SiteA">'[1]Stake A'!$A$103:$CC$165</definedName>
    <definedName name="SKit_XSection">'[5]SCD May 97, 1998'!$K$4</definedName>
    <definedName name="TempArray">[4]SNOWPIT!$P$9:$Q$20</definedName>
    <definedName name="TempArray2006">'[5]2006.5.12 Pit'!$P$9:$Q$23</definedName>
    <definedName name="TempArray2008">'[5]2008.09.28 Pit'!$P$9:$Q$23</definedName>
    <definedName name="XSECTAREA">[4]SNOWPIT!$Q$1</definedName>
    <definedName name="XSECTION">'[4]98.05.27'!$K$3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9" l="1"/>
  <c r="L69" i="8"/>
  <c r="L22" i="3"/>
  <c r="J36" i="9"/>
  <c r="P36" i="9" s="1"/>
  <c r="C44" i="9" s="1"/>
  <c r="I5" i="39"/>
  <c r="C82" i="8"/>
  <c r="P74" i="8"/>
  <c r="L35" i="4"/>
  <c r="L60" i="5"/>
  <c r="L52" i="6"/>
  <c r="L24" i="7"/>
  <c r="L74" i="8"/>
  <c r="P60" i="5"/>
  <c r="C68" i="5" s="1"/>
  <c r="P52" i="6"/>
  <c r="C61" i="6" s="1"/>
  <c r="P24" i="7"/>
  <c r="C32" i="7" s="1"/>
  <c r="Q25" i="38"/>
  <c r="I5" i="35"/>
  <c r="I5" i="43"/>
  <c r="G42" i="4"/>
  <c r="E42" i="4"/>
  <c r="C19" i="34"/>
  <c r="I5" i="37"/>
  <c r="I9" i="34"/>
  <c r="J22" i="3"/>
  <c r="J19" i="3"/>
  <c r="I22" i="3"/>
  <c r="I19" i="3"/>
  <c r="B56" i="47"/>
  <c r="B55" i="47"/>
  <c r="B53" i="47"/>
  <c r="B54" i="47" s="1"/>
  <c r="B52" i="47"/>
  <c r="I2" i="47" s="1"/>
  <c r="I3" i="47" l="1"/>
  <c r="P12" i="34" l="1"/>
  <c r="I4" i="36" l="1"/>
  <c r="I2" i="36"/>
  <c r="I1" i="36"/>
  <c r="I4" i="39"/>
  <c r="I4" i="40"/>
  <c r="I3" i="40"/>
  <c r="I2" i="40"/>
  <c r="I4" i="35"/>
  <c r="K52" i="6"/>
  <c r="I1" i="35"/>
  <c r="I3" i="35"/>
  <c r="P26" i="35"/>
  <c r="P27" i="35"/>
  <c r="I4" i="43"/>
  <c r="M40" i="43"/>
  <c r="P40" i="43" s="1"/>
  <c r="I4" i="37"/>
  <c r="F36" i="4"/>
  <c r="V53" i="38"/>
  <c r="C28" i="38"/>
  <c r="C25" i="38"/>
  <c r="M53" i="37"/>
  <c r="F10" i="34"/>
  <c r="Z70" i="36"/>
  <c r="AA70" i="36"/>
  <c r="Z71" i="36"/>
  <c r="AA71" i="36"/>
  <c r="Z72" i="36"/>
  <c r="AA72" i="36"/>
  <c r="Z73" i="36"/>
  <c r="AA73" i="36"/>
  <c r="Z74" i="36"/>
  <c r="AA74" i="36"/>
  <c r="Z75" i="36"/>
  <c r="AA75" i="36"/>
  <c r="Z76" i="36"/>
  <c r="AA76" i="36" s="1"/>
  <c r="Z77" i="36"/>
  <c r="AA77" i="36" s="1"/>
  <c r="Z78" i="36"/>
  <c r="AA78" i="36"/>
  <c r="Z79" i="36"/>
  <c r="AA79" i="36"/>
  <c r="Z80" i="36"/>
  <c r="AA80" i="36"/>
  <c r="O43" i="35"/>
  <c r="L40" i="35"/>
  <c r="M40" i="35"/>
  <c r="N40" i="35"/>
  <c r="O40" i="35"/>
  <c r="P40" i="35"/>
  <c r="Q40" i="35"/>
  <c r="L41" i="35"/>
  <c r="M41" i="35"/>
  <c r="N41" i="35"/>
  <c r="O41" i="35"/>
  <c r="P41" i="35"/>
  <c r="Q41" i="35" s="1"/>
  <c r="L42" i="35"/>
  <c r="M42" i="35"/>
  <c r="N42" i="35"/>
  <c r="O42" i="35"/>
  <c r="P42" i="35"/>
  <c r="Q42" i="35"/>
  <c r="L43" i="35"/>
  <c r="M43" i="35"/>
  <c r="N43" i="35"/>
  <c r="P43" i="35"/>
  <c r="Q43" i="35" s="1"/>
  <c r="C42" i="35"/>
  <c r="C40" i="35"/>
  <c r="O39" i="35" s="1"/>
  <c r="G43" i="35"/>
  <c r="G42" i="35"/>
  <c r="G41" i="35"/>
  <c r="G40" i="35"/>
  <c r="G31" i="7"/>
  <c r="C47" i="9"/>
  <c r="G43" i="9"/>
  <c r="E43" i="9"/>
  <c r="K36" i="9"/>
  <c r="G37" i="9"/>
  <c r="G36" i="9"/>
  <c r="N27" i="36"/>
  <c r="N28" i="36"/>
  <c r="N29" i="36"/>
  <c r="N30" i="36"/>
  <c r="N31" i="36"/>
  <c r="N32" i="36"/>
  <c r="N33" i="36"/>
  <c r="N34" i="36"/>
  <c r="N35" i="36"/>
  <c r="N36" i="36"/>
  <c r="Q36" i="36" s="1"/>
  <c r="N37" i="36"/>
  <c r="Q37" i="36" s="1"/>
  <c r="N38" i="36"/>
  <c r="Q38" i="36" s="1"/>
  <c r="N39" i="36"/>
  <c r="Q39" i="36" s="1"/>
  <c r="N40" i="36"/>
  <c r="N41" i="36"/>
  <c r="N42" i="36"/>
  <c r="Q42" i="36" s="1"/>
  <c r="N43" i="36"/>
  <c r="N44" i="36"/>
  <c r="N45" i="36"/>
  <c r="N46" i="36"/>
  <c r="N47" i="36"/>
  <c r="N48" i="36"/>
  <c r="N49" i="36"/>
  <c r="N52" i="36"/>
  <c r="N53" i="36"/>
  <c r="N54" i="36"/>
  <c r="Q54" i="36" s="1"/>
  <c r="N55" i="36"/>
  <c r="Q55" i="36" s="1"/>
  <c r="N56" i="36"/>
  <c r="Q56" i="36" s="1"/>
  <c r="N57" i="36"/>
  <c r="N58" i="36"/>
  <c r="Q58" i="36" s="1"/>
  <c r="N59" i="36"/>
  <c r="N60" i="36"/>
  <c r="N61" i="36"/>
  <c r="N62" i="36"/>
  <c r="N63" i="36"/>
  <c r="N64" i="36"/>
  <c r="N65" i="36"/>
  <c r="N66" i="36"/>
  <c r="N67" i="36"/>
  <c r="N68" i="36"/>
  <c r="N69" i="36"/>
  <c r="N70" i="36"/>
  <c r="N71" i="36"/>
  <c r="N72" i="36"/>
  <c r="N73" i="36"/>
  <c r="N74" i="36"/>
  <c r="Q74" i="36" s="1"/>
  <c r="N75" i="36"/>
  <c r="N76" i="36"/>
  <c r="N77" i="36"/>
  <c r="N78" i="36"/>
  <c r="N79" i="36"/>
  <c r="N80" i="36"/>
  <c r="N26" i="36"/>
  <c r="N25" i="36"/>
  <c r="O26" i="36"/>
  <c r="O27" i="36"/>
  <c r="O28" i="36"/>
  <c r="Q28" i="36" s="1"/>
  <c r="O29" i="36"/>
  <c r="Q29" i="36" s="1"/>
  <c r="O30" i="36"/>
  <c r="Q30" i="36" s="1"/>
  <c r="O31" i="36"/>
  <c r="O32" i="36"/>
  <c r="O33" i="36"/>
  <c r="O34" i="36"/>
  <c r="Q34" i="36" s="1"/>
  <c r="O35" i="36"/>
  <c r="O36" i="36"/>
  <c r="O37" i="36"/>
  <c r="O38" i="36"/>
  <c r="O39" i="36"/>
  <c r="O40" i="36"/>
  <c r="O41" i="36"/>
  <c r="O42" i="36"/>
  <c r="O43" i="36"/>
  <c r="O44" i="36"/>
  <c r="Q44" i="36" s="1"/>
  <c r="O45" i="36"/>
  <c r="Q45" i="36" s="1"/>
  <c r="O46" i="36"/>
  <c r="Q46" i="36" s="1"/>
  <c r="O47" i="36"/>
  <c r="O48" i="36"/>
  <c r="O51" i="36"/>
  <c r="O52" i="36"/>
  <c r="O53" i="36"/>
  <c r="O54" i="36"/>
  <c r="O55" i="36"/>
  <c r="O56" i="36"/>
  <c r="O57" i="36"/>
  <c r="O58" i="36"/>
  <c r="O59" i="36"/>
  <c r="O60" i="36"/>
  <c r="Q60" i="36" s="1"/>
  <c r="O61" i="36"/>
  <c r="Q61" i="36" s="1"/>
  <c r="O62" i="36"/>
  <c r="Q62" i="36" s="1"/>
  <c r="O63" i="36"/>
  <c r="O64" i="36"/>
  <c r="O65" i="36"/>
  <c r="O66" i="36"/>
  <c r="O67" i="36"/>
  <c r="O68" i="36"/>
  <c r="O69" i="36"/>
  <c r="O70" i="36"/>
  <c r="O71" i="36"/>
  <c r="O72" i="36"/>
  <c r="O73" i="36"/>
  <c r="O74" i="36"/>
  <c r="O75" i="36"/>
  <c r="O76" i="36"/>
  <c r="Q76" i="36" s="1"/>
  <c r="O77" i="36"/>
  <c r="Q77" i="36" s="1"/>
  <c r="O78" i="36"/>
  <c r="Q78" i="36" s="1"/>
  <c r="O79" i="36"/>
  <c r="O25" i="36"/>
  <c r="Q26" i="36"/>
  <c r="Q27" i="36"/>
  <c r="Q32" i="36"/>
  <c r="Q33" i="36"/>
  <c r="Q35" i="36"/>
  <c r="Q43" i="36"/>
  <c r="Q48" i="36"/>
  <c r="Q52" i="36"/>
  <c r="Q53" i="36"/>
  <c r="Q59" i="36"/>
  <c r="Q64" i="36"/>
  <c r="Q65" i="36"/>
  <c r="Q66" i="36"/>
  <c r="Q67" i="36"/>
  <c r="Q68" i="36"/>
  <c r="Q69" i="36"/>
  <c r="Q70" i="36"/>
  <c r="Q71" i="36"/>
  <c r="Q72" i="36"/>
  <c r="Q75" i="36"/>
  <c r="Q80" i="36"/>
  <c r="Q25" i="36"/>
  <c r="P80" i="36"/>
  <c r="O80" i="36"/>
  <c r="L70" i="36"/>
  <c r="M70" i="36"/>
  <c r="P70" i="36" s="1"/>
  <c r="L71" i="36"/>
  <c r="M71" i="36"/>
  <c r="P71" i="36"/>
  <c r="L72" i="36"/>
  <c r="M72" i="36"/>
  <c r="P72" i="36" s="1"/>
  <c r="L73" i="36"/>
  <c r="M73" i="36"/>
  <c r="P73" i="36"/>
  <c r="L74" i="36"/>
  <c r="M74" i="36"/>
  <c r="P74" i="36" s="1"/>
  <c r="L75" i="36"/>
  <c r="M75" i="36"/>
  <c r="P75" i="36"/>
  <c r="L76" i="36"/>
  <c r="M76" i="36"/>
  <c r="P76" i="36" s="1"/>
  <c r="L77" i="36"/>
  <c r="M77" i="36"/>
  <c r="P77" i="36"/>
  <c r="L78" i="36"/>
  <c r="M78" i="36"/>
  <c r="P78" i="36" s="1"/>
  <c r="L79" i="36"/>
  <c r="M79" i="36"/>
  <c r="P79" i="36"/>
  <c r="L80" i="36"/>
  <c r="M80" i="36"/>
  <c r="C79" i="36"/>
  <c r="C77" i="36"/>
  <c r="C75" i="36"/>
  <c r="C73" i="36"/>
  <c r="C71" i="36"/>
  <c r="C69" i="36"/>
  <c r="C67" i="36"/>
  <c r="G80" i="36"/>
  <c r="G79" i="36"/>
  <c r="G78" i="36"/>
  <c r="G77" i="36"/>
  <c r="G76" i="36"/>
  <c r="G75" i="36"/>
  <c r="G74" i="36"/>
  <c r="G73" i="36"/>
  <c r="G72" i="36"/>
  <c r="G71" i="36"/>
  <c r="G70" i="36"/>
  <c r="C65" i="36"/>
  <c r="C63" i="36"/>
  <c r="C60" i="36"/>
  <c r="C58" i="36"/>
  <c r="C56" i="36"/>
  <c r="C54" i="36"/>
  <c r="C52" i="36"/>
  <c r="C50" i="36"/>
  <c r="O49" i="36" s="1"/>
  <c r="Q49" i="36" s="1"/>
  <c r="C48" i="36"/>
  <c r="C46" i="36"/>
  <c r="C44" i="36"/>
  <c r="C42" i="36"/>
  <c r="C40" i="36"/>
  <c r="C38" i="36"/>
  <c r="C36" i="36"/>
  <c r="C34" i="36"/>
  <c r="C32" i="36"/>
  <c r="C30" i="36"/>
  <c r="Z14" i="36"/>
  <c r="AA14" i="36"/>
  <c r="Z15" i="36"/>
  <c r="AA15" i="36"/>
  <c r="Z16" i="36"/>
  <c r="AA16" i="36"/>
  <c r="Z17" i="36"/>
  <c r="AA17" i="36"/>
  <c r="Z18" i="36"/>
  <c r="AA18" i="36"/>
  <c r="Z19" i="36"/>
  <c r="AA19" i="36"/>
  <c r="Z20" i="36"/>
  <c r="AA20" i="36"/>
  <c r="Z21" i="36"/>
  <c r="AA21" i="36"/>
  <c r="O22" i="36"/>
  <c r="C28" i="36"/>
  <c r="O17" i="36"/>
  <c r="O18" i="36"/>
  <c r="O19" i="36"/>
  <c r="O20" i="36"/>
  <c r="O21" i="36"/>
  <c r="O16" i="36"/>
  <c r="N14" i="36"/>
  <c r="N16" i="36"/>
  <c r="P16" i="36"/>
  <c r="N17" i="36"/>
  <c r="P17" i="36"/>
  <c r="N18" i="36"/>
  <c r="P18" i="36"/>
  <c r="N19" i="36"/>
  <c r="P19" i="36"/>
  <c r="N20" i="36"/>
  <c r="P20" i="36"/>
  <c r="N21" i="36"/>
  <c r="P21" i="36"/>
  <c r="Q21" i="36" s="1"/>
  <c r="C85" i="8"/>
  <c r="G81" i="8"/>
  <c r="E81" i="8"/>
  <c r="K74" i="8"/>
  <c r="J74" i="8"/>
  <c r="G75" i="8"/>
  <c r="G74" i="8"/>
  <c r="P32" i="39"/>
  <c r="I1" i="39"/>
  <c r="O43" i="39"/>
  <c r="L34" i="39"/>
  <c r="M34" i="39"/>
  <c r="P34" i="39" s="1"/>
  <c r="Q34" i="39" s="1"/>
  <c r="N34" i="39"/>
  <c r="O34" i="39"/>
  <c r="L35" i="39"/>
  <c r="M35" i="39" s="1"/>
  <c r="P35" i="39" s="1"/>
  <c r="Q35" i="39" s="1"/>
  <c r="N35" i="39"/>
  <c r="O35" i="39"/>
  <c r="L36" i="39"/>
  <c r="M36" i="39" s="1"/>
  <c r="P36" i="39" s="1"/>
  <c r="Q36" i="39" s="1"/>
  <c r="N36" i="39"/>
  <c r="O36" i="39"/>
  <c r="L37" i="39"/>
  <c r="M37" i="39"/>
  <c r="P37" i="39" s="1"/>
  <c r="Q37" i="39" s="1"/>
  <c r="N37" i="39"/>
  <c r="O37" i="39"/>
  <c r="L38" i="39"/>
  <c r="M38" i="39"/>
  <c r="P38" i="39" s="1"/>
  <c r="Q38" i="39" s="1"/>
  <c r="N38" i="39"/>
  <c r="O38" i="39"/>
  <c r="L39" i="39"/>
  <c r="M39" i="39"/>
  <c r="P39" i="39" s="1"/>
  <c r="Q39" i="39" s="1"/>
  <c r="N39" i="39"/>
  <c r="O39" i="39"/>
  <c r="L40" i="39"/>
  <c r="M40" i="39" s="1"/>
  <c r="P40" i="39" s="1"/>
  <c r="Q40" i="39" s="1"/>
  <c r="N40" i="39"/>
  <c r="O40" i="39"/>
  <c r="L41" i="39"/>
  <c r="M41" i="39" s="1"/>
  <c r="P41" i="39" s="1"/>
  <c r="Q41" i="39" s="1"/>
  <c r="N41" i="39"/>
  <c r="O41" i="39"/>
  <c r="L42" i="39"/>
  <c r="M42" i="39"/>
  <c r="P42" i="39" s="1"/>
  <c r="Q42" i="39" s="1"/>
  <c r="N42" i="39"/>
  <c r="O42" i="39"/>
  <c r="L43" i="39"/>
  <c r="M43" i="39"/>
  <c r="P43" i="39" s="1"/>
  <c r="N43" i="39"/>
  <c r="Q21" i="39"/>
  <c r="R21" i="39"/>
  <c r="P21" i="39"/>
  <c r="P14" i="39"/>
  <c r="Q14" i="39"/>
  <c r="R14" i="39"/>
  <c r="S14" i="39"/>
  <c r="P15" i="39"/>
  <c r="Q15" i="39"/>
  <c r="R18" i="39" s="1"/>
  <c r="S18" i="39" s="1"/>
  <c r="R15" i="39"/>
  <c r="S15" i="39"/>
  <c r="P16" i="39"/>
  <c r="Q16" i="39"/>
  <c r="P17" i="39"/>
  <c r="Q17" i="39"/>
  <c r="R19" i="39" s="1"/>
  <c r="S19" i="39" s="1"/>
  <c r="R17" i="39"/>
  <c r="S17" i="39"/>
  <c r="P18" i="39"/>
  <c r="Q18" i="39"/>
  <c r="P19" i="39"/>
  <c r="Q19" i="39"/>
  <c r="P20" i="39"/>
  <c r="Q20" i="39"/>
  <c r="O21" i="39"/>
  <c r="N24" i="39"/>
  <c r="O24" i="39"/>
  <c r="C42" i="39"/>
  <c r="C40" i="39"/>
  <c r="C38" i="39"/>
  <c r="C36" i="39"/>
  <c r="C34" i="39"/>
  <c r="C32" i="39"/>
  <c r="C30" i="39"/>
  <c r="C28" i="39"/>
  <c r="G43" i="39"/>
  <c r="G42" i="39"/>
  <c r="G41" i="39"/>
  <c r="G40" i="39"/>
  <c r="G39" i="39"/>
  <c r="G38" i="39"/>
  <c r="G37" i="39"/>
  <c r="G36" i="39"/>
  <c r="G35" i="39"/>
  <c r="N21" i="39"/>
  <c r="N14" i="39"/>
  <c r="O14" i="39"/>
  <c r="N15" i="39"/>
  <c r="O15" i="39"/>
  <c r="N16" i="39"/>
  <c r="O16" i="39"/>
  <c r="N17" i="39"/>
  <c r="O17" i="39"/>
  <c r="N18" i="39"/>
  <c r="O18" i="39"/>
  <c r="N19" i="39"/>
  <c r="O19" i="39"/>
  <c r="N20" i="39"/>
  <c r="O20" i="39"/>
  <c r="O13" i="39"/>
  <c r="C35" i="7"/>
  <c r="E31" i="7"/>
  <c r="K24" i="7"/>
  <c r="O25" i="40"/>
  <c r="N24" i="40"/>
  <c r="O21" i="40"/>
  <c r="C36" i="40"/>
  <c r="C34" i="40"/>
  <c r="C32" i="40"/>
  <c r="C30" i="40"/>
  <c r="C28" i="40"/>
  <c r="O37" i="40"/>
  <c r="G25" i="40"/>
  <c r="L25" i="40"/>
  <c r="G26" i="40"/>
  <c r="L26" i="40"/>
  <c r="G27" i="40"/>
  <c r="L27" i="40"/>
  <c r="G28" i="40"/>
  <c r="L28" i="40"/>
  <c r="G29" i="40"/>
  <c r="L29" i="40"/>
  <c r="G30" i="40"/>
  <c r="M30" i="40" s="1"/>
  <c r="P30" i="40" s="1"/>
  <c r="L30" i="40"/>
  <c r="G31" i="40"/>
  <c r="O30" i="40" s="1"/>
  <c r="L31" i="40"/>
  <c r="G32" i="40"/>
  <c r="O31" i="40" s="1"/>
  <c r="L32" i="40"/>
  <c r="G33" i="40"/>
  <c r="M33" i="40" s="1"/>
  <c r="P33" i="40" s="1"/>
  <c r="L33" i="40"/>
  <c r="G34" i="40"/>
  <c r="N34" i="40" s="1"/>
  <c r="L34" i="40"/>
  <c r="G35" i="40"/>
  <c r="N35" i="40" s="1"/>
  <c r="L35" i="40"/>
  <c r="G36" i="40"/>
  <c r="N36" i="40" s="1"/>
  <c r="L36" i="40"/>
  <c r="G37" i="40"/>
  <c r="O36" i="40" s="1"/>
  <c r="L37" i="40"/>
  <c r="N14" i="40"/>
  <c r="O14" i="40"/>
  <c r="N15" i="40"/>
  <c r="O15" i="40"/>
  <c r="N16" i="40"/>
  <c r="O16" i="40"/>
  <c r="N17" i="40"/>
  <c r="O17" i="40"/>
  <c r="N18" i="40"/>
  <c r="O18" i="40"/>
  <c r="N19" i="40"/>
  <c r="O19" i="40"/>
  <c r="N20" i="40"/>
  <c r="O20" i="40"/>
  <c r="O13" i="40"/>
  <c r="P14" i="40"/>
  <c r="P15" i="40"/>
  <c r="Q15" i="40" s="1"/>
  <c r="P16" i="40"/>
  <c r="Q16" i="40" s="1"/>
  <c r="P17" i="40"/>
  <c r="P18" i="40"/>
  <c r="P19" i="40"/>
  <c r="P20" i="40"/>
  <c r="N21" i="40"/>
  <c r="P21" i="40"/>
  <c r="G53" i="6"/>
  <c r="G25" i="7"/>
  <c r="G24" i="7"/>
  <c r="C64" i="6"/>
  <c r="G60" i="6"/>
  <c r="E60" i="6"/>
  <c r="J52" i="6"/>
  <c r="G52" i="6"/>
  <c r="L39" i="35"/>
  <c r="M39" i="35" s="1"/>
  <c r="P39" i="35" s="1"/>
  <c r="N38" i="35"/>
  <c r="O38" i="35"/>
  <c r="N39" i="35"/>
  <c r="C28" i="35"/>
  <c r="C31" i="35"/>
  <c r="C34" i="35"/>
  <c r="C38" i="35"/>
  <c r="G39" i="35"/>
  <c r="C71" i="5"/>
  <c r="G67" i="5"/>
  <c r="E67" i="5"/>
  <c r="J60" i="5"/>
  <c r="G61" i="5"/>
  <c r="G60" i="5"/>
  <c r="N50" i="36" l="1"/>
  <c r="N51" i="36"/>
  <c r="O50" i="36"/>
  <c r="Q79" i="36"/>
  <c r="Q63" i="36"/>
  <c r="Q47" i="36"/>
  <c r="Q31" i="36"/>
  <c r="Q57" i="36"/>
  <c r="Q40" i="36"/>
  <c r="Q73" i="36"/>
  <c r="Q41" i="36"/>
  <c r="Q17" i="36"/>
  <c r="Q20" i="36"/>
  <c r="Q18" i="36"/>
  <c r="Q19" i="36"/>
  <c r="Q16" i="36"/>
  <c r="Q43" i="39"/>
  <c r="R20" i="39"/>
  <c r="S20" i="39" s="1"/>
  <c r="R16" i="39"/>
  <c r="S16" i="39" s="1"/>
  <c r="N37" i="40"/>
  <c r="M37" i="40"/>
  <c r="P37" i="40" s="1"/>
  <c r="Q37" i="40" s="1"/>
  <c r="O35" i="40"/>
  <c r="M36" i="40"/>
  <c r="P36" i="40" s="1"/>
  <c r="Q36" i="40" s="1"/>
  <c r="M35" i="40"/>
  <c r="P35" i="40" s="1"/>
  <c r="Q35" i="40" s="1"/>
  <c r="O34" i="40"/>
  <c r="M34" i="40"/>
  <c r="P34" i="40" s="1"/>
  <c r="O33" i="40"/>
  <c r="O32" i="40"/>
  <c r="N33" i="40"/>
  <c r="N32" i="40"/>
  <c r="M32" i="40"/>
  <c r="P32" i="40" s="1"/>
  <c r="Q32" i="40" s="1"/>
  <c r="M31" i="40"/>
  <c r="P31" i="40" s="1"/>
  <c r="N31" i="40"/>
  <c r="N30" i="40"/>
  <c r="Q30" i="40" s="1"/>
  <c r="Q18" i="40"/>
  <c r="Q17" i="40"/>
  <c r="Q20" i="40"/>
  <c r="Q19" i="40"/>
  <c r="Q14" i="40"/>
  <c r="Q39" i="35"/>
  <c r="Q34" i="40" l="1"/>
  <c r="Q31" i="40"/>
  <c r="Q33" i="40"/>
  <c r="O29" i="43" l="1"/>
  <c r="Q29" i="43" s="1"/>
  <c r="O30" i="43"/>
  <c r="Q30" i="43" s="1"/>
  <c r="O31" i="43"/>
  <c r="Q31" i="43" s="1"/>
  <c r="O32" i="43"/>
  <c r="Q32" i="43" s="1"/>
  <c r="O33" i="43"/>
  <c r="Q33" i="43" s="1"/>
  <c r="O34" i="43"/>
  <c r="O35" i="43"/>
  <c r="O36" i="43"/>
  <c r="O37" i="43"/>
  <c r="Q34" i="43"/>
  <c r="Q35" i="43"/>
  <c r="Q36" i="43"/>
  <c r="Q37" i="43"/>
  <c r="O40" i="43"/>
  <c r="Q22" i="43"/>
  <c r="Q23" i="43"/>
  <c r="Q24" i="43"/>
  <c r="Q25" i="43"/>
  <c r="Q26" i="43"/>
  <c r="Q27" i="43"/>
  <c r="Q28" i="43"/>
  <c r="Q21" i="43"/>
  <c r="S21" i="43"/>
  <c r="N21" i="43"/>
  <c r="O18" i="43"/>
  <c r="L33" i="43"/>
  <c r="L34" i="43"/>
  <c r="L35" i="43"/>
  <c r="M35" i="43" s="1"/>
  <c r="P35" i="43" s="1"/>
  <c r="N35" i="43"/>
  <c r="L36" i="43"/>
  <c r="L37" i="43"/>
  <c r="L38" i="43"/>
  <c r="L39" i="43"/>
  <c r="M39" i="43"/>
  <c r="P39" i="43" s="1"/>
  <c r="L40" i="43"/>
  <c r="C39" i="43"/>
  <c r="N39" i="43" s="1"/>
  <c r="C37" i="43"/>
  <c r="N37" i="43" s="1"/>
  <c r="C35" i="43"/>
  <c r="C33" i="43"/>
  <c r="N33" i="43" s="1"/>
  <c r="C31" i="43"/>
  <c r="C29" i="43"/>
  <c r="C27" i="43"/>
  <c r="C25" i="43"/>
  <c r="C23" i="43"/>
  <c r="C21" i="43"/>
  <c r="G39" i="43"/>
  <c r="G38" i="43"/>
  <c r="M38" i="43" s="1"/>
  <c r="P38" i="43" s="1"/>
  <c r="G37" i="43"/>
  <c r="G36" i="43"/>
  <c r="M36" i="43" s="1"/>
  <c r="P36" i="43" s="1"/>
  <c r="G35" i="43"/>
  <c r="G34" i="43"/>
  <c r="M34" i="43" s="1"/>
  <c r="P34" i="43" s="1"/>
  <c r="G33" i="43"/>
  <c r="V53" i="43"/>
  <c r="V52" i="43"/>
  <c r="V50" i="43"/>
  <c r="V51" i="43" s="1"/>
  <c r="V49" i="43"/>
  <c r="I3" i="43" s="1"/>
  <c r="L32" i="43"/>
  <c r="G32" i="43"/>
  <c r="L31" i="43"/>
  <c r="G31" i="43"/>
  <c r="M31" i="43" s="1"/>
  <c r="P31" i="43" s="1"/>
  <c r="L30" i="43"/>
  <c r="G30" i="43"/>
  <c r="L29" i="43"/>
  <c r="G29" i="43"/>
  <c r="N29" i="43" s="1"/>
  <c r="L28" i="43"/>
  <c r="G28" i="43"/>
  <c r="L27" i="43"/>
  <c r="G27" i="43"/>
  <c r="L26" i="43"/>
  <c r="G26" i="43"/>
  <c r="M26" i="43" s="1"/>
  <c r="P26" i="43" s="1"/>
  <c r="L25" i="43"/>
  <c r="G25" i="43"/>
  <c r="L24" i="43"/>
  <c r="G24" i="43"/>
  <c r="M24" i="43" s="1"/>
  <c r="P24" i="43" s="1"/>
  <c r="L23" i="43"/>
  <c r="G23" i="43"/>
  <c r="M23" i="43" s="1"/>
  <c r="P23" i="43" s="1"/>
  <c r="L22" i="43"/>
  <c r="G22" i="43"/>
  <c r="M22" i="43" s="1"/>
  <c r="P22" i="43" s="1"/>
  <c r="L21" i="43"/>
  <c r="G21" i="43"/>
  <c r="M21" i="43" s="1"/>
  <c r="P21" i="43" s="1"/>
  <c r="P18" i="43"/>
  <c r="N18" i="43"/>
  <c r="P17" i="43"/>
  <c r="Q17" i="43" s="1"/>
  <c r="O17" i="43"/>
  <c r="N17" i="43"/>
  <c r="P16" i="43"/>
  <c r="O16" i="43"/>
  <c r="N16" i="43"/>
  <c r="P15" i="43"/>
  <c r="O15" i="43"/>
  <c r="N15" i="43"/>
  <c r="P14" i="43"/>
  <c r="O14" i="43"/>
  <c r="N14" i="43"/>
  <c r="P13" i="43"/>
  <c r="O13" i="43"/>
  <c r="N13" i="43"/>
  <c r="C46" i="4"/>
  <c r="I35" i="4"/>
  <c r="G36" i="4"/>
  <c r="G35" i="4"/>
  <c r="O18" i="38"/>
  <c r="N25" i="38"/>
  <c r="L29" i="38"/>
  <c r="M29" i="38"/>
  <c r="N29" i="38"/>
  <c r="O29" i="38"/>
  <c r="P29" i="38"/>
  <c r="Q29" i="38" s="1"/>
  <c r="L30" i="38"/>
  <c r="M30" i="38"/>
  <c r="N30" i="38"/>
  <c r="O30" i="38"/>
  <c r="P30" i="38"/>
  <c r="Q30" i="38"/>
  <c r="L31" i="38"/>
  <c r="M31" i="38"/>
  <c r="N31" i="38"/>
  <c r="O31" i="38"/>
  <c r="P31" i="38"/>
  <c r="Q31" i="38" s="1"/>
  <c r="L32" i="38"/>
  <c r="M32" i="38"/>
  <c r="N32" i="38"/>
  <c r="O32" i="38"/>
  <c r="P32" i="38"/>
  <c r="Q32" i="38"/>
  <c r="L33" i="38"/>
  <c r="M33" i="38"/>
  <c r="N33" i="38"/>
  <c r="O33" i="38"/>
  <c r="P33" i="38"/>
  <c r="Q33" i="38" s="1"/>
  <c r="L34" i="38"/>
  <c r="M34" i="38"/>
  <c r="N34" i="38"/>
  <c r="O34" i="38"/>
  <c r="P34" i="38"/>
  <c r="Q34" i="38"/>
  <c r="L35" i="38"/>
  <c r="M35" i="38"/>
  <c r="N35" i="38"/>
  <c r="O35" i="38"/>
  <c r="P35" i="38"/>
  <c r="Q35" i="38" s="1"/>
  <c r="L36" i="38"/>
  <c r="M36" i="38"/>
  <c r="N36" i="38"/>
  <c r="P36" i="38"/>
  <c r="Q36" i="38"/>
  <c r="C34" i="38"/>
  <c r="C32" i="38"/>
  <c r="C30" i="38"/>
  <c r="C26" i="38"/>
  <c r="G36" i="38"/>
  <c r="G35" i="38"/>
  <c r="G34" i="38"/>
  <c r="G33" i="38"/>
  <c r="G32" i="38"/>
  <c r="G31" i="38"/>
  <c r="G30" i="38"/>
  <c r="C33" i="3"/>
  <c r="C32" i="3"/>
  <c r="G28" i="3"/>
  <c r="E28" i="3"/>
  <c r="F23" i="3"/>
  <c r="G23" i="3"/>
  <c r="G22" i="3"/>
  <c r="G20" i="3"/>
  <c r="G19" i="3"/>
  <c r="C22" i="34"/>
  <c r="G18" i="34"/>
  <c r="E18" i="34"/>
  <c r="L12" i="34"/>
  <c r="K12" i="34"/>
  <c r="I12" i="34"/>
  <c r="F13" i="34"/>
  <c r="G13" i="34"/>
  <c r="K9" i="34"/>
  <c r="I3" i="37"/>
  <c r="H27" i="37"/>
  <c r="I27" i="37"/>
  <c r="J27" i="37"/>
  <c r="H28" i="37"/>
  <c r="I32" i="37" s="1"/>
  <c r="J32" i="37" s="1"/>
  <c r="I28" i="37"/>
  <c r="J28" i="37" s="1"/>
  <c r="H29" i="37"/>
  <c r="H30" i="37"/>
  <c r="I33" i="37" s="1"/>
  <c r="J33" i="37" s="1"/>
  <c r="I30" i="37"/>
  <c r="J30" i="37"/>
  <c r="H31" i="37"/>
  <c r="I35" i="37" s="1"/>
  <c r="J35" i="37" s="1"/>
  <c r="I31" i="37"/>
  <c r="J31" i="37"/>
  <c r="H32" i="37"/>
  <c r="I36" i="37" s="1"/>
  <c r="J36" i="37" s="1"/>
  <c r="H33" i="37"/>
  <c r="H34" i="37"/>
  <c r="H35" i="37"/>
  <c r="H36" i="37"/>
  <c r="I37" i="37" s="1"/>
  <c r="J37" i="37" s="1"/>
  <c r="H37" i="37"/>
  <c r="H38" i="37"/>
  <c r="H39" i="37"/>
  <c r="H40" i="37"/>
  <c r="H41" i="37"/>
  <c r="E22" i="37"/>
  <c r="F22" i="37"/>
  <c r="E23" i="37"/>
  <c r="F23" i="37"/>
  <c r="E24" i="37"/>
  <c r="F24" i="37"/>
  <c r="E25" i="37"/>
  <c r="F25" i="37"/>
  <c r="E26" i="37"/>
  <c r="F26" i="37"/>
  <c r="E27" i="37"/>
  <c r="F27" i="37"/>
  <c r="E28" i="37"/>
  <c r="F28" i="37"/>
  <c r="E29" i="37"/>
  <c r="F29" i="37"/>
  <c r="E30" i="37"/>
  <c r="F30" i="37"/>
  <c r="E31" i="37"/>
  <c r="F31" i="37"/>
  <c r="E32" i="37"/>
  <c r="F32" i="37"/>
  <c r="E33" i="37"/>
  <c r="F33" i="37"/>
  <c r="E34" i="37"/>
  <c r="F34" i="37"/>
  <c r="E35" i="37"/>
  <c r="F35" i="37"/>
  <c r="E36" i="37"/>
  <c r="F36" i="37"/>
  <c r="E37" i="37"/>
  <c r="F37" i="37"/>
  <c r="E38" i="37"/>
  <c r="F38" i="37"/>
  <c r="E39" i="37"/>
  <c r="F39" i="37"/>
  <c r="E40" i="37"/>
  <c r="F40" i="37"/>
  <c r="E41" i="37"/>
  <c r="G41" i="37"/>
  <c r="G40" i="37"/>
  <c r="G39" i="37"/>
  <c r="G38" i="37"/>
  <c r="G37" i="37"/>
  <c r="G36" i="37"/>
  <c r="G35" i="37"/>
  <c r="G34" i="37"/>
  <c r="G33" i="37"/>
  <c r="G32" i="37"/>
  <c r="G31" i="37"/>
  <c r="G30" i="37"/>
  <c r="G29" i="37"/>
  <c r="G28" i="37"/>
  <c r="G10" i="34"/>
  <c r="G9" i="34"/>
  <c r="G12" i="34"/>
  <c r="G17" i="3"/>
  <c r="G18" i="3" s="1"/>
  <c r="F18" i="3" s="1"/>
  <c r="G31" i="4"/>
  <c r="G32" i="4" s="1"/>
  <c r="F32" i="4" s="1"/>
  <c r="G48" i="6"/>
  <c r="G49" i="6" s="1"/>
  <c r="F49" i="6" s="1"/>
  <c r="G20" i="7"/>
  <c r="G21" i="7" s="1"/>
  <c r="F21" i="7" s="1"/>
  <c r="E9" i="1"/>
  <c r="E11" i="1"/>
  <c r="E10" i="1"/>
  <c r="E8" i="1"/>
  <c r="E7" i="1"/>
  <c r="E6" i="1"/>
  <c r="E5" i="1"/>
  <c r="E4" i="1"/>
  <c r="J9" i="34" l="1"/>
  <c r="J12" i="34"/>
  <c r="P9" i="34"/>
  <c r="L9" i="34"/>
  <c r="R9" i="34" s="1"/>
  <c r="C23" i="34" s="1"/>
  <c r="L19" i="3"/>
  <c r="O39" i="43"/>
  <c r="Q39" i="43" s="1"/>
  <c r="O38" i="43"/>
  <c r="Q38" i="43" s="1"/>
  <c r="N40" i="43"/>
  <c r="Q40" i="43"/>
  <c r="N36" i="43"/>
  <c r="M30" i="43"/>
  <c r="P30" i="43" s="1"/>
  <c r="N23" i="43"/>
  <c r="Q14" i="43"/>
  <c r="Q15" i="43"/>
  <c r="N28" i="43"/>
  <c r="N34" i="43"/>
  <c r="Q13" i="43"/>
  <c r="N38" i="43"/>
  <c r="M33" i="43"/>
  <c r="P33" i="43" s="1"/>
  <c r="M28" i="43"/>
  <c r="P28" i="43" s="1"/>
  <c r="M37" i="43"/>
  <c r="P37" i="43" s="1"/>
  <c r="N25" i="43"/>
  <c r="N30" i="43"/>
  <c r="O28" i="43"/>
  <c r="O27" i="43"/>
  <c r="O26" i="43"/>
  <c r="N26" i="43"/>
  <c r="O25" i="43"/>
  <c r="O24" i="43"/>
  <c r="O23" i="43"/>
  <c r="Q16" i="43"/>
  <c r="O21" i="43"/>
  <c r="Q18" i="43"/>
  <c r="N22" i="43"/>
  <c r="R13" i="43"/>
  <c r="S13" i="43" s="1"/>
  <c r="R15" i="43"/>
  <c r="S15" i="43" s="1"/>
  <c r="M32" i="43"/>
  <c r="P32" i="43" s="1"/>
  <c r="M27" i="43"/>
  <c r="P27" i="43" s="1"/>
  <c r="N32" i="43"/>
  <c r="N27" i="43"/>
  <c r="M29" i="43"/>
  <c r="P29" i="43" s="1"/>
  <c r="O22" i="43"/>
  <c r="N24" i="43"/>
  <c r="M25" i="43"/>
  <c r="P25" i="43" s="1"/>
  <c r="N31" i="43"/>
  <c r="I41" i="37"/>
  <c r="J41" i="37" s="1"/>
  <c r="I40" i="37"/>
  <c r="J40" i="37" s="1"/>
  <c r="I29" i="37"/>
  <c r="J29" i="37" s="1"/>
  <c r="I34" i="37"/>
  <c r="J34" i="37" s="1"/>
  <c r="I39" i="37"/>
  <c r="J39" i="37" s="1"/>
  <c r="I38" i="37"/>
  <c r="J38" i="37" s="1"/>
  <c r="R16" i="43" l="1"/>
  <c r="S16" i="43" s="1"/>
  <c r="R14" i="43"/>
  <c r="S14" i="43" s="1"/>
  <c r="R39" i="43"/>
  <c r="R24" i="43"/>
  <c r="S24" i="43" s="1"/>
  <c r="R17" i="43"/>
  <c r="S17" i="43" s="1"/>
  <c r="R18" i="43"/>
  <c r="S18" i="43" s="1"/>
  <c r="S39" i="43" l="1"/>
  <c r="K60" i="5"/>
  <c r="R35" i="43"/>
  <c r="S35" i="43" s="1"/>
  <c r="R34" i="43"/>
  <c r="S34" i="43" s="1"/>
  <c r="R36" i="43"/>
  <c r="S36" i="43" s="1"/>
  <c r="R37" i="43"/>
  <c r="S37" i="43" s="1"/>
  <c r="R38" i="43"/>
  <c r="S38" i="43" s="1"/>
  <c r="R21" i="43"/>
  <c r="R22" i="43"/>
  <c r="S22" i="43" s="1"/>
  <c r="R23" i="43"/>
  <c r="S23" i="43" s="1"/>
  <c r="R40" i="43"/>
  <c r="S40" i="43" s="1"/>
  <c r="R33" i="43"/>
  <c r="S33" i="43" s="1"/>
  <c r="R25" i="43"/>
  <c r="S25" i="43" s="1"/>
  <c r="R26" i="43"/>
  <c r="S26" i="43" s="1"/>
  <c r="R28" i="43"/>
  <c r="S28" i="43" s="1"/>
  <c r="R29" i="43"/>
  <c r="S29" i="43" s="1"/>
  <c r="R32" i="43"/>
  <c r="R31" i="43"/>
  <c r="S31" i="43" s="1"/>
  <c r="R30" i="43"/>
  <c r="S30" i="43" s="1"/>
  <c r="R27" i="43"/>
  <c r="S27" i="43" s="1"/>
  <c r="H7" i="1"/>
  <c r="S32" i="43" l="1"/>
  <c r="V56" i="40" l="1"/>
  <c r="V55" i="40"/>
  <c r="V53" i="40"/>
  <c r="V54" i="40" s="1"/>
  <c r="V52" i="40"/>
  <c r="L24" i="40"/>
  <c r="G24" i="40"/>
  <c r="P13" i="40"/>
  <c r="N13" i="40"/>
  <c r="I2" i="39"/>
  <c r="V56" i="39"/>
  <c r="V55" i="39"/>
  <c r="V53" i="39"/>
  <c r="V54" i="39" s="1"/>
  <c r="V52" i="39"/>
  <c r="I3" i="39" s="1"/>
  <c r="G34" i="39"/>
  <c r="L33" i="39"/>
  <c r="G33" i="39"/>
  <c r="L32" i="39"/>
  <c r="G32" i="39"/>
  <c r="O31" i="39" s="1"/>
  <c r="L31" i="39"/>
  <c r="G31" i="39"/>
  <c r="L30" i="39"/>
  <c r="G30" i="39"/>
  <c r="L29" i="39"/>
  <c r="G29" i="39"/>
  <c r="L28" i="39"/>
  <c r="G28" i="39"/>
  <c r="L27" i="39"/>
  <c r="G27" i="39"/>
  <c r="L26" i="39"/>
  <c r="G26" i="39"/>
  <c r="L25" i="39"/>
  <c r="G25" i="39"/>
  <c r="L24" i="39"/>
  <c r="G24" i="39"/>
  <c r="P13" i="39"/>
  <c r="N13" i="39"/>
  <c r="M24" i="39" l="1"/>
  <c r="P24" i="39" s="1"/>
  <c r="M33" i="39"/>
  <c r="P33" i="39" s="1"/>
  <c r="N25" i="39"/>
  <c r="O25" i="39"/>
  <c r="O27" i="39"/>
  <c r="N26" i="39"/>
  <c r="Q13" i="39"/>
  <c r="M28" i="39"/>
  <c r="P28" i="39" s="1"/>
  <c r="J24" i="7"/>
  <c r="Q21" i="40"/>
  <c r="Q13" i="40"/>
  <c r="R13" i="40" s="1"/>
  <c r="S13" i="40" s="1"/>
  <c r="O24" i="40"/>
  <c r="N25" i="40"/>
  <c r="M24" i="40"/>
  <c r="P24" i="40" s="1"/>
  <c r="M29" i="39"/>
  <c r="P29" i="39" s="1"/>
  <c r="N29" i="40"/>
  <c r="O29" i="40"/>
  <c r="O27" i="40"/>
  <c r="M25" i="40"/>
  <c r="P25" i="40" s="1"/>
  <c r="N26" i="40"/>
  <c r="M26" i="40"/>
  <c r="P26" i="40" s="1"/>
  <c r="N27" i="40"/>
  <c r="M27" i="40"/>
  <c r="P27" i="40" s="1"/>
  <c r="O26" i="40"/>
  <c r="M28" i="40"/>
  <c r="P28" i="40" s="1"/>
  <c r="N28" i="40"/>
  <c r="O28" i="40"/>
  <c r="M29" i="40"/>
  <c r="P29" i="40" s="1"/>
  <c r="O29" i="39"/>
  <c r="N33" i="39"/>
  <c r="N32" i="39"/>
  <c r="N31" i="39"/>
  <c r="N28" i="39"/>
  <c r="O26" i="39"/>
  <c r="O32" i="39"/>
  <c r="N27" i="39"/>
  <c r="M27" i="39"/>
  <c r="P27" i="39" s="1"/>
  <c r="M25" i="39"/>
  <c r="P25" i="39" s="1"/>
  <c r="M26" i="39"/>
  <c r="P26" i="39" s="1"/>
  <c r="O33" i="39"/>
  <c r="O28" i="39"/>
  <c r="M30" i="39"/>
  <c r="P30" i="39" s="1"/>
  <c r="N30" i="39"/>
  <c r="O30" i="39"/>
  <c r="M32" i="39"/>
  <c r="N29" i="39"/>
  <c r="M31" i="39"/>
  <c r="P31" i="39" s="1"/>
  <c r="R13" i="39" l="1"/>
  <c r="S13" i="39" s="1"/>
  <c r="Q25" i="39"/>
  <c r="S21" i="39"/>
  <c r="R18" i="40"/>
  <c r="S18" i="40" s="1"/>
  <c r="R20" i="40"/>
  <c r="S20" i="40" s="1"/>
  <c r="R15" i="40"/>
  <c r="S15" i="40" s="1"/>
  <c r="R21" i="40"/>
  <c r="S21" i="40" s="1"/>
  <c r="R14" i="40"/>
  <c r="S14" i="40" s="1"/>
  <c r="R16" i="40"/>
  <c r="S16" i="40" s="1"/>
  <c r="R19" i="40"/>
  <c r="S19" i="40" s="1"/>
  <c r="R17" i="40"/>
  <c r="S17" i="40" s="1"/>
  <c r="Q29" i="40"/>
  <c r="Q24" i="40"/>
  <c r="Q26" i="40"/>
  <c r="Q28" i="40"/>
  <c r="Q25" i="40"/>
  <c r="R31" i="40" s="1"/>
  <c r="S31" i="40" s="1"/>
  <c r="Q27" i="40"/>
  <c r="Q29" i="39"/>
  <c r="Q28" i="39"/>
  <c r="Q33" i="39"/>
  <c r="Q31" i="39"/>
  <c r="Q27" i="39"/>
  <c r="Q26" i="39"/>
  <c r="Q24" i="39"/>
  <c r="R24" i="39" s="1"/>
  <c r="S24" i="39" s="1"/>
  <c r="Q32" i="39"/>
  <c r="R25" i="39"/>
  <c r="S25" i="39" s="1"/>
  <c r="R26" i="39"/>
  <c r="S26" i="39" s="1"/>
  <c r="Q30" i="39"/>
  <c r="R42" i="39" l="1"/>
  <c r="S42" i="39" s="1"/>
  <c r="R40" i="39"/>
  <c r="S40" i="39" s="1"/>
  <c r="R38" i="39"/>
  <c r="S38" i="39" s="1"/>
  <c r="R36" i="39"/>
  <c r="S36" i="39" s="1"/>
  <c r="R35" i="39"/>
  <c r="S35" i="39" s="1"/>
  <c r="R43" i="39"/>
  <c r="S43" i="39" s="1"/>
  <c r="R37" i="39"/>
  <c r="S37" i="39" s="1"/>
  <c r="R39" i="39"/>
  <c r="S39" i="39" s="1"/>
  <c r="R34" i="39"/>
  <c r="S34" i="39" s="1"/>
  <c r="R41" i="39"/>
  <c r="S41" i="39" s="1"/>
  <c r="R27" i="39"/>
  <c r="S27" i="39" s="1"/>
  <c r="R33" i="40"/>
  <c r="S33" i="40" s="1"/>
  <c r="R35" i="40"/>
  <c r="S35" i="40" s="1"/>
  <c r="R32" i="40"/>
  <c r="S32" i="40" s="1"/>
  <c r="R37" i="40"/>
  <c r="S37" i="40" s="1"/>
  <c r="R30" i="40"/>
  <c r="S30" i="40" s="1"/>
  <c r="R36" i="40"/>
  <c r="S36" i="40" s="1"/>
  <c r="R34" i="40"/>
  <c r="S34" i="40" s="1"/>
  <c r="R32" i="39"/>
  <c r="S32" i="39" s="1"/>
  <c r="R30" i="39"/>
  <c r="S30" i="39" s="1"/>
  <c r="R33" i="39"/>
  <c r="S33" i="39" s="1"/>
  <c r="R28" i="39"/>
  <c r="S28" i="39" s="1"/>
  <c r="R27" i="40"/>
  <c r="S27" i="40" s="1"/>
  <c r="R28" i="40"/>
  <c r="S28" i="40" s="1"/>
  <c r="R25" i="40"/>
  <c r="S25" i="40" s="1"/>
  <c r="R26" i="40"/>
  <c r="S26" i="40" s="1"/>
  <c r="R24" i="40"/>
  <c r="S24" i="40" s="1"/>
  <c r="R29" i="40"/>
  <c r="S29" i="40" s="1"/>
  <c r="R29" i="39"/>
  <c r="S29" i="39" s="1"/>
  <c r="R31" i="39"/>
  <c r="S31" i="39" s="1"/>
  <c r="I2" i="38" l="1"/>
  <c r="N28" i="38"/>
  <c r="V57" i="38"/>
  <c r="V56" i="38"/>
  <c r="V54" i="38"/>
  <c r="V55" i="38" s="1"/>
  <c r="I3" i="38"/>
  <c r="J35" i="4" s="1"/>
  <c r="G29" i="38"/>
  <c r="L28" i="38"/>
  <c r="G28" i="38"/>
  <c r="L27" i="38"/>
  <c r="G27" i="38"/>
  <c r="L26" i="38"/>
  <c r="G26" i="38"/>
  <c r="N26" i="38" s="1"/>
  <c r="L25" i="38"/>
  <c r="G25" i="38"/>
  <c r="M25" i="38" s="1"/>
  <c r="P25" i="38" s="1"/>
  <c r="P18" i="38"/>
  <c r="N18" i="38"/>
  <c r="P17" i="38"/>
  <c r="Q17" i="38" s="1"/>
  <c r="O17" i="38"/>
  <c r="N17" i="38"/>
  <c r="P16" i="38"/>
  <c r="Q16" i="38" s="1"/>
  <c r="O16" i="38"/>
  <c r="N16" i="38"/>
  <c r="P15" i="38"/>
  <c r="Q15" i="38" s="1"/>
  <c r="O15" i="38"/>
  <c r="N15" i="38"/>
  <c r="P14" i="38"/>
  <c r="Q14" i="38" s="1"/>
  <c r="O14" i="38"/>
  <c r="N14" i="38"/>
  <c r="P13" i="38"/>
  <c r="Q13" i="38" s="1"/>
  <c r="O13" i="38"/>
  <c r="N13" i="38"/>
  <c r="I2" i="37"/>
  <c r="I1" i="37"/>
  <c r="M57" i="37"/>
  <c r="M56" i="37"/>
  <c r="M54" i="37"/>
  <c r="M55" i="37" s="1"/>
  <c r="G27" i="37"/>
  <c r="G26" i="37"/>
  <c r="H26" i="37" s="1"/>
  <c r="G25" i="37"/>
  <c r="H25" i="37" s="1"/>
  <c r="G24" i="37"/>
  <c r="H24" i="37" s="1"/>
  <c r="G23" i="37"/>
  <c r="G22" i="37"/>
  <c r="G21" i="37"/>
  <c r="H21" i="37" s="1"/>
  <c r="F21" i="37"/>
  <c r="E21" i="37"/>
  <c r="G20" i="37"/>
  <c r="H20" i="37" s="1"/>
  <c r="F20" i="37"/>
  <c r="E20" i="37"/>
  <c r="G19" i="37"/>
  <c r="H19" i="37" s="1"/>
  <c r="F19" i="37"/>
  <c r="E19" i="37"/>
  <c r="G18" i="37"/>
  <c r="H18" i="37" s="1"/>
  <c r="F18" i="37"/>
  <c r="E18" i="37"/>
  <c r="G17" i="37"/>
  <c r="H17" i="37" s="1"/>
  <c r="F17" i="37"/>
  <c r="E17" i="37"/>
  <c r="G16" i="37"/>
  <c r="H16" i="37" s="1"/>
  <c r="F16" i="37"/>
  <c r="E16" i="37"/>
  <c r="G15" i="37"/>
  <c r="F15" i="37"/>
  <c r="H15" i="37" s="1"/>
  <c r="E15" i="37"/>
  <c r="G14" i="37"/>
  <c r="F14" i="37"/>
  <c r="E14" i="37"/>
  <c r="G13" i="37"/>
  <c r="H13" i="37" s="1"/>
  <c r="F13" i="37"/>
  <c r="E13" i="37"/>
  <c r="Z22" i="36"/>
  <c r="AA22" i="36" s="1"/>
  <c r="Z13" i="36"/>
  <c r="AA13" i="36" s="1"/>
  <c r="AF57" i="36"/>
  <c r="G56" i="36"/>
  <c r="L56" i="36"/>
  <c r="Z56" i="36" s="1"/>
  <c r="G57" i="36"/>
  <c r="L57" i="36"/>
  <c r="Z57" i="36" s="1"/>
  <c r="G58" i="36"/>
  <c r="L58" i="36"/>
  <c r="Z58" i="36" s="1"/>
  <c r="G59" i="36"/>
  <c r="L59" i="36"/>
  <c r="Z59" i="36" s="1"/>
  <c r="G60" i="36"/>
  <c r="L60" i="36"/>
  <c r="Z60" i="36" s="1"/>
  <c r="G61" i="36"/>
  <c r="L61" i="36"/>
  <c r="Z61" i="36" s="1"/>
  <c r="G62" i="36"/>
  <c r="L62" i="36"/>
  <c r="Z62" i="36" s="1"/>
  <c r="G63" i="36"/>
  <c r="L63" i="36"/>
  <c r="Z63" i="36" s="1"/>
  <c r="G64" i="36"/>
  <c r="L64" i="36"/>
  <c r="Z64" i="36" s="1"/>
  <c r="G65" i="36"/>
  <c r="L65" i="36"/>
  <c r="Z65" i="36" s="1"/>
  <c r="G66" i="36"/>
  <c r="L66" i="36"/>
  <c r="Z66" i="36" s="1"/>
  <c r="G67" i="36"/>
  <c r="L67" i="36"/>
  <c r="Z67" i="36" s="1"/>
  <c r="G68" i="36"/>
  <c r="L68" i="36"/>
  <c r="Z68" i="36" s="1"/>
  <c r="G69" i="36"/>
  <c r="L69" i="36"/>
  <c r="Z69" i="36" s="1"/>
  <c r="L55" i="36"/>
  <c r="Z55" i="36" s="1"/>
  <c r="G55" i="36"/>
  <c r="AF54" i="36"/>
  <c r="AF55" i="36" s="1"/>
  <c r="L54" i="36"/>
  <c r="Z54" i="36" s="1"/>
  <c r="G54" i="36"/>
  <c r="L53" i="36"/>
  <c r="Z53" i="36" s="1"/>
  <c r="G53" i="36"/>
  <c r="L52" i="36"/>
  <c r="Z52" i="36" s="1"/>
  <c r="G52" i="36"/>
  <c r="L51" i="36"/>
  <c r="Z51" i="36" s="1"/>
  <c r="G51" i="36"/>
  <c r="L50" i="36"/>
  <c r="Z50" i="36" s="1"/>
  <c r="G50" i="36"/>
  <c r="L49" i="36"/>
  <c r="Z49" i="36" s="1"/>
  <c r="G49" i="36"/>
  <c r="L48" i="36"/>
  <c r="Z48" i="36" s="1"/>
  <c r="G48" i="36"/>
  <c r="L47" i="36"/>
  <c r="Z47" i="36" s="1"/>
  <c r="G47" i="36"/>
  <c r="L46" i="36"/>
  <c r="Z46" i="36" s="1"/>
  <c r="G46" i="36"/>
  <c r="L45" i="36"/>
  <c r="Z45" i="36" s="1"/>
  <c r="G45" i="36"/>
  <c r="L44" i="36"/>
  <c r="Z44" i="36" s="1"/>
  <c r="G44" i="36"/>
  <c r="L43" i="36"/>
  <c r="Z43" i="36" s="1"/>
  <c r="G43" i="36"/>
  <c r="L42" i="36"/>
  <c r="Z42" i="36" s="1"/>
  <c r="G42" i="36"/>
  <c r="L41" i="36"/>
  <c r="Z41" i="36" s="1"/>
  <c r="G41" i="36"/>
  <c r="L40" i="36"/>
  <c r="Z40" i="36" s="1"/>
  <c r="G40" i="36"/>
  <c r="L39" i="36"/>
  <c r="Z39" i="36" s="1"/>
  <c r="G39" i="36"/>
  <c r="L38" i="36"/>
  <c r="Z38" i="36" s="1"/>
  <c r="G38" i="36"/>
  <c r="L37" i="36"/>
  <c r="Z37" i="36" s="1"/>
  <c r="G37" i="36"/>
  <c r="L36" i="36"/>
  <c r="Z36" i="36" s="1"/>
  <c r="G36" i="36"/>
  <c r="L35" i="36"/>
  <c r="Z35" i="36" s="1"/>
  <c r="G35" i="36"/>
  <c r="L34" i="36"/>
  <c r="Z34" i="36" s="1"/>
  <c r="G34" i="36"/>
  <c r="L33" i="36"/>
  <c r="Z33" i="36" s="1"/>
  <c r="G33" i="36"/>
  <c r="L32" i="36"/>
  <c r="Z32" i="36" s="1"/>
  <c r="G32" i="36"/>
  <c r="L31" i="36"/>
  <c r="Z31" i="36" s="1"/>
  <c r="G31" i="36"/>
  <c r="L30" i="36"/>
  <c r="Z30" i="36" s="1"/>
  <c r="G30" i="36"/>
  <c r="L29" i="36"/>
  <c r="Z29" i="36" s="1"/>
  <c r="G29" i="36"/>
  <c r="L28" i="36"/>
  <c r="Z28" i="36" s="1"/>
  <c r="G28" i="36"/>
  <c r="L27" i="36"/>
  <c r="Z27" i="36" s="1"/>
  <c r="G27" i="36"/>
  <c r="M27" i="36" s="1"/>
  <c r="L26" i="36"/>
  <c r="Z26" i="36" s="1"/>
  <c r="G26" i="36"/>
  <c r="L25" i="36"/>
  <c r="Z25" i="36" s="1"/>
  <c r="G25" i="36"/>
  <c r="P22" i="36"/>
  <c r="N22" i="36"/>
  <c r="P15" i="36"/>
  <c r="O15" i="36"/>
  <c r="N15" i="36"/>
  <c r="P14" i="36"/>
  <c r="O14" i="36"/>
  <c r="P13" i="36"/>
  <c r="O13" i="36"/>
  <c r="N13" i="36"/>
  <c r="V57" i="35"/>
  <c r="V56" i="35"/>
  <c r="V54" i="35"/>
  <c r="V55" i="35" s="1"/>
  <c r="V53" i="35"/>
  <c r="L38" i="35"/>
  <c r="M38" i="35" s="1"/>
  <c r="P38" i="35" s="1"/>
  <c r="Q38" i="35" s="1"/>
  <c r="G38" i="35"/>
  <c r="O37" i="35" s="1"/>
  <c r="L37" i="35"/>
  <c r="G37" i="35"/>
  <c r="L36" i="35"/>
  <c r="G36" i="35"/>
  <c r="O35" i="35" s="1"/>
  <c r="L35" i="35"/>
  <c r="G35" i="35"/>
  <c r="L34" i="35"/>
  <c r="G34" i="35"/>
  <c r="L33" i="35"/>
  <c r="G33" i="35"/>
  <c r="L32" i="35"/>
  <c r="G32" i="35"/>
  <c r="L31" i="35"/>
  <c r="G31" i="35"/>
  <c r="L30" i="35"/>
  <c r="G30" i="35"/>
  <c r="L29" i="35"/>
  <c r="G29" i="35"/>
  <c r="O28" i="35" s="1"/>
  <c r="L28" i="35"/>
  <c r="G28" i="35"/>
  <c r="L27" i="35"/>
  <c r="G27" i="35"/>
  <c r="L26" i="35"/>
  <c r="G26" i="35"/>
  <c r="L25" i="35"/>
  <c r="G25" i="35"/>
  <c r="P20" i="35"/>
  <c r="N20" i="35"/>
  <c r="P19" i="35"/>
  <c r="O19" i="35"/>
  <c r="N19" i="35"/>
  <c r="P18" i="35"/>
  <c r="O18" i="35"/>
  <c r="N18" i="35"/>
  <c r="P17" i="35"/>
  <c r="Q17" i="35" s="1"/>
  <c r="O17" i="35"/>
  <c r="N17" i="35"/>
  <c r="P16" i="35"/>
  <c r="Q16" i="35" s="1"/>
  <c r="O16" i="35"/>
  <c r="N16" i="35"/>
  <c r="P15" i="35"/>
  <c r="O15" i="35"/>
  <c r="N15" i="35"/>
  <c r="P14" i="35"/>
  <c r="O14" i="35"/>
  <c r="N14" i="35"/>
  <c r="P13" i="35"/>
  <c r="O13" i="35"/>
  <c r="N13" i="35"/>
  <c r="R32" i="38" l="1"/>
  <c r="S32" i="38" s="1"/>
  <c r="AA27" i="36"/>
  <c r="M33" i="35"/>
  <c r="P33" i="35" s="1"/>
  <c r="M25" i="35"/>
  <c r="P25" i="35" s="1"/>
  <c r="O20" i="35"/>
  <c r="N25" i="35"/>
  <c r="Q20" i="35"/>
  <c r="N27" i="38"/>
  <c r="Q18" i="38"/>
  <c r="R29" i="38" s="1"/>
  <c r="S29" i="38" s="1"/>
  <c r="O34" i="35"/>
  <c r="M40" i="36"/>
  <c r="P40" i="36" s="1"/>
  <c r="M62" i="36"/>
  <c r="P62" i="36" s="1"/>
  <c r="M25" i="36"/>
  <c r="P25" i="36" s="1"/>
  <c r="O28" i="38"/>
  <c r="O27" i="38"/>
  <c r="O25" i="38"/>
  <c r="M28" i="38"/>
  <c r="P28" i="38" s="1"/>
  <c r="O26" i="38"/>
  <c r="M27" i="38"/>
  <c r="P27" i="38" s="1"/>
  <c r="M26" i="38"/>
  <c r="P26" i="38" s="1"/>
  <c r="R16" i="38"/>
  <c r="S16" i="38" s="1"/>
  <c r="R17" i="38"/>
  <c r="S17" i="38" s="1"/>
  <c r="R14" i="38"/>
  <c r="S14" i="38" s="1"/>
  <c r="R13" i="38"/>
  <c r="S13" i="38" s="1"/>
  <c r="R15" i="38"/>
  <c r="S15" i="38" s="1"/>
  <c r="H23" i="37"/>
  <c r="H22" i="37"/>
  <c r="H14" i="37"/>
  <c r="I22" i="37" s="1"/>
  <c r="J22" i="37" s="1"/>
  <c r="I13" i="37"/>
  <c r="J13" i="37" s="1"/>
  <c r="I14" i="37"/>
  <c r="J14" i="37" s="1"/>
  <c r="M66" i="36"/>
  <c r="P66" i="36" s="1"/>
  <c r="M51" i="36"/>
  <c r="P51" i="36" s="1"/>
  <c r="Q51" i="36" s="1"/>
  <c r="M29" i="36"/>
  <c r="P29" i="36" s="1"/>
  <c r="M37" i="36"/>
  <c r="P37" i="36" s="1"/>
  <c r="M53" i="36"/>
  <c r="P53" i="36" s="1"/>
  <c r="Q14" i="36"/>
  <c r="AF53" i="36"/>
  <c r="I3" i="36" s="1"/>
  <c r="AF56" i="36"/>
  <c r="M64" i="36"/>
  <c r="P64" i="36" s="1"/>
  <c r="Q13" i="36"/>
  <c r="M39" i="36"/>
  <c r="P39" i="36" s="1"/>
  <c r="M33" i="36"/>
  <c r="P33" i="36" s="1"/>
  <c r="M35" i="36"/>
  <c r="P35" i="36" s="1"/>
  <c r="Q15" i="36"/>
  <c r="M30" i="36"/>
  <c r="P30" i="36" s="1"/>
  <c r="M52" i="36"/>
  <c r="P52" i="36" s="1"/>
  <c r="M69" i="36"/>
  <c r="AA69" i="36" s="1"/>
  <c r="M56" i="36"/>
  <c r="P56" i="36" s="1"/>
  <c r="M59" i="36"/>
  <c r="P59" i="36" s="1"/>
  <c r="M42" i="36"/>
  <c r="P42" i="36" s="1"/>
  <c r="M68" i="36"/>
  <c r="P68" i="36" s="1"/>
  <c r="M49" i="36"/>
  <c r="AA49" i="36" s="1"/>
  <c r="M54" i="36"/>
  <c r="P54" i="36" s="1"/>
  <c r="M45" i="36"/>
  <c r="P45" i="36" s="1"/>
  <c r="M65" i="36"/>
  <c r="AA65" i="36" s="1"/>
  <c r="M57" i="36"/>
  <c r="P57" i="36" s="1"/>
  <c r="M46" i="36"/>
  <c r="P46" i="36" s="1"/>
  <c r="M55" i="36"/>
  <c r="P55" i="36" s="1"/>
  <c r="M58" i="36"/>
  <c r="P58" i="36" s="1"/>
  <c r="M44" i="36"/>
  <c r="P44" i="36" s="1"/>
  <c r="M43" i="36"/>
  <c r="P43" i="36" s="1"/>
  <c r="M41" i="36"/>
  <c r="P41" i="36" s="1"/>
  <c r="M36" i="36"/>
  <c r="P36" i="36" s="1"/>
  <c r="M28" i="36"/>
  <c r="P28" i="36" s="1"/>
  <c r="P27" i="36"/>
  <c r="M26" i="36"/>
  <c r="P26" i="36" s="1"/>
  <c r="M63" i="36"/>
  <c r="P63" i="36" s="1"/>
  <c r="M60" i="36"/>
  <c r="P60" i="36" s="1"/>
  <c r="M67" i="36"/>
  <c r="AA67" i="36" s="1"/>
  <c r="M61" i="36"/>
  <c r="P61" i="36" s="1"/>
  <c r="M32" i="36"/>
  <c r="AA32" i="36" s="1"/>
  <c r="M48" i="36"/>
  <c r="P48" i="36" s="1"/>
  <c r="M38" i="36"/>
  <c r="P38" i="36" s="1"/>
  <c r="R13" i="36"/>
  <c r="S13" i="36" s="1"/>
  <c r="M31" i="36"/>
  <c r="P31" i="36" s="1"/>
  <c r="M47" i="36"/>
  <c r="P47" i="36" s="1"/>
  <c r="M34" i="36"/>
  <c r="P34" i="36" s="1"/>
  <c r="M50" i="36"/>
  <c r="P50" i="36" s="1"/>
  <c r="Q50" i="36" s="1"/>
  <c r="N32" i="35"/>
  <c r="N33" i="35"/>
  <c r="O25" i="35"/>
  <c r="Q25" i="35" s="1"/>
  <c r="M26" i="35"/>
  <c r="M34" i="35"/>
  <c r="P34" i="35" s="1"/>
  <c r="M37" i="35"/>
  <c r="P37" i="35" s="1"/>
  <c r="O32" i="35"/>
  <c r="O30" i="35"/>
  <c r="N28" i="35"/>
  <c r="N27" i="35"/>
  <c r="Q14" i="35"/>
  <c r="Q15" i="35"/>
  <c r="O26" i="35"/>
  <c r="M27" i="35"/>
  <c r="O33" i="35"/>
  <c r="N34" i="35"/>
  <c r="N35" i="35"/>
  <c r="Q13" i="35"/>
  <c r="R15" i="35" s="1"/>
  <c r="S15" i="35" s="1"/>
  <c r="N26" i="35"/>
  <c r="M31" i="35"/>
  <c r="P31" i="35" s="1"/>
  <c r="M35" i="35"/>
  <c r="P35" i="35" s="1"/>
  <c r="N31" i="35"/>
  <c r="Q18" i="35"/>
  <c r="Q19" i="35"/>
  <c r="N29" i="35"/>
  <c r="M30" i="35"/>
  <c r="P30" i="35" s="1"/>
  <c r="M36" i="35"/>
  <c r="P36" i="35" s="1"/>
  <c r="O27" i="35"/>
  <c r="M29" i="35"/>
  <c r="P29" i="35" s="1"/>
  <c r="N36" i="35"/>
  <c r="O36" i="35"/>
  <c r="O29" i="35"/>
  <c r="O31" i="35"/>
  <c r="N30" i="35"/>
  <c r="M28" i="35"/>
  <c r="P28" i="35" s="1"/>
  <c r="N37" i="35"/>
  <c r="M32" i="35"/>
  <c r="P32" i="35" s="1"/>
  <c r="R31" i="38" l="1"/>
  <c r="S31" i="38" s="1"/>
  <c r="R34" i="38"/>
  <c r="S34" i="38" s="1"/>
  <c r="R35" i="38"/>
  <c r="S35" i="38" s="1"/>
  <c r="R33" i="38"/>
  <c r="S33" i="38" s="1"/>
  <c r="R36" i="38"/>
  <c r="S36" i="38" s="1"/>
  <c r="I4" i="38" s="1"/>
  <c r="I5" i="38" s="1"/>
  <c r="R30" i="38"/>
  <c r="S30" i="38" s="1"/>
  <c r="K35" i="4"/>
  <c r="P35" i="4" s="1"/>
  <c r="R80" i="36"/>
  <c r="S80" i="36" s="1"/>
  <c r="R79" i="36"/>
  <c r="S79" i="36" s="1"/>
  <c r="R78" i="36"/>
  <c r="S78" i="36" s="1"/>
  <c r="R72" i="36"/>
  <c r="S72" i="36" s="1"/>
  <c r="R76" i="36"/>
  <c r="S76" i="36" s="1"/>
  <c r="R70" i="36"/>
  <c r="S70" i="36" s="1"/>
  <c r="R73" i="36"/>
  <c r="S73" i="36" s="1"/>
  <c r="R74" i="36"/>
  <c r="S74" i="36" s="1"/>
  <c r="R75" i="36"/>
  <c r="S75" i="36" s="1"/>
  <c r="R71" i="36"/>
  <c r="S71" i="36" s="1"/>
  <c r="R77" i="36"/>
  <c r="S77" i="36" s="1"/>
  <c r="AA56" i="36"/>
  <c r="AA40" i="36"/>
  <c r="AA34" i="36"/>
  <c r="AA33" i="36"/>
  <c r="AA28" i="36"/>
  <c r="AA68" i="36"/>
  <c r="AA44" i="36"/>
  <c r="R14" i="36"/>
  <c r="S14" i="36" s="1"/>
  <c r="R19" i="36"/>
  <c r="S19" i="36" s="1"/>
  <c r="R20" i="36"/>
  <c r="S20" i="36" s="1"/>
  <c r="R21" i="36"/>
  <c r="S21" i="36" s="1"/>
  <c r="R16" i="36"/>
  <c r="S16" i="36" s="1"/>
  <c r="R17" i="36"/>
  <c r="S17" i="36" s="1"/>
  <c r="R18" i="36"/>
  <c r="S18" i="36" s="1"/>
  <c r="AA54" i="36"/>
  <c r="AA53" i="36"/>
  <c r="AA37" i="36"/>
  <c r="AA48" i="36"/>
  <c r="AA59" i="36"/>
  <c r="AA29" i="36"/>
  <c r="AA51" i="36"/>
  <c r="AA42" i="36"/>
  <c r="AA43" i="36"/>
  <c r="AA50" i="36"/>
  <c r="AA57" i="36"/>
  <c r="AA41" i="36"/>
  <c r="AA35" i="36"/>
  <c r="AA25" i="36"/>
  <c r="AA46" i="36"/>
  <c r="AA52" i="36"/>
  <c r="AA55" i="36"/>
  <c r="AA38" i="36"/>
  <c r="AA64" i="36"/>
  <c r="AA30" i="36"/>
  <c r="AA60" i="36"/>
  <c r="AA47" i="36"/>
  <c r="AA45" i="36"/>
  <c r="AA26" i="36"/>
  <c r="AA36" i="36"/>
  <c r="AA63" i="36"/>
  <c r="AA39" i="36"/>
  <c r="AA58" i="36"/>
  <c r="AA61" i="36"/>
  <c r="AA31" i="36"/>
  <c r="AA66" i="36"/>
  <c r="AA62" i="36"/>
  <c r="Q34" i="35"/>
  <c r="R16" i="35"/>
  <c r="S16" i="35" s="1"/>
  <c r="R13" i="35"/>
  <c r="S13" i="35" s="1"/>
  <c r="R14" i="35"/>
  <c r="S14" i="35" s="1"/>
  <c r="Q26" i="38"/>
  <c r="Q33" i="35"/>
  <c r="P65" i="36"/>
  <c r="Q27" i="38"/>
  <c r="Q28" i="38"/>
  <c r="R26" i="38"/>
  <c r="S26" i="38" s="1"/>
  <c r="R25" i="38"/>
  <c r="S25" i="38" s="1"/>
  <c r="R27" i="38"/>
  <c r="S27" i="38" s="1"/>
  <c r="R18" i="38"/>
  <c r="S18" i="38" s="1"/>
  <c r="I24" i="37"/>
  <c r="J24" i="37" s="1"/>
  <c r="I25" i="37"/>
  <c r="J25" i="37" s="1"/>
  <c r="I16" i="37"/>
  <c r="J16" i="37" s="1"/>
  <c r="I20" i="37"/>
  <c r="J20" i="37" s="1"/>
  <c r="I21" i="37"/>
  <c r="J21" i="37" s="1"/>
  <c r="I23" i="37"/>
  <c r="J23" i="37" s="1"/>
  <c r="I15" i="37"/>
  <c r="J15" i="37" s="1"/>
  <c r="I17" i="37"/>
  <c r="J17" i="37" s="1"/>
  <c r="I26" i="37"/>
  <c r="J26" i="37" s="1"/>
  <c r="I19" i="37"/>
  <c r="J19" i="37" s="1"/>
  <c r="I18" i="37"/>
  <c r="J18" i="37" s="1"/>
  <c r="R15" i="36"/>
  <c r="S15" i="36" s="1"/>
  <c r="P49" i="36"/>
  <c r="P69" i="36"/>
  <c r="P67" i="36"/>
  <c r="P32" i="36"/>
  <c r="Q37" i="35"/>
  <c r="Q35" i="35"/>
  <c r="Q32" i="35"/>
  <c r="Q28" i="35"/>
  <c r="Q26" i="35"/>
  <c r="Q30" i="35"/>
  <c r="R19" i="35"/>
  <c r="S19" i="35" s="1"/>
  <c r="R17" i="35"/>
  <c r="S17" i="35" s="1"/>
  <c r="Q27" i="35"/>
  <c r="R18" i="35"/>
  <c r="S18" i="35" s="1"/>
  <c r="R20" i="35"/>
  <c r="S20" i="35" s="1"/>
  <c r="Q36" i="35"/>
  <c r="R25" i="35"/>
  <c r="S25" i="35" s="1"/>
  <c r="Q31" i="35"/>
  <c r="Q29" i="35"/>
  <c r="C43" i="4" l="1"/>
  <c r="R40" i="35"/>
  <c r="S40" i="35" s="1"/>
  <c r="R42" i="35"/>
  <c r="S42" i="35" s="1"/>
  <c r="R43" i="35"/>
  <c r="S43" i="35" s="1"/>
  <c r="R41" i="35"/>
  <c r="S41" i="35" s="1"/>
  <c r="R39" i="35"/>
  <c r="S39" i="35" s="1"/>
  <c r="R38" i="35"/>
  <c r="S38" i="35" s="1"/>
  <c r="R28" i="38"/>
  <c r="S28" i="38" s="1"/>
  <c r="Q22" i="36"/>
  <c r="R36" i="35"/>
  <c r="S36" i="35" s="1"/>
  <c r="R35" i="35"/>
  <c r="S35" i="35" s="1"/>
  <c r="R31" i="35"/>
  <c r="S31" i="35" s="1"/>
  <c r="R33" i="35"/>
  <c r="S33" i="35" s="1"/>
  <c r="R28" i="35"/>
  <c r="S28" i="35" s="1"/>
  <c r="R29" i="35"/>
  <c r="S29" i="35" s="1"/>
  <c r="R30" i="35"/>
  <c r="S30" i="35" s="1"/>
  <c r="R32" i="35"/>
  <c r="S32" i="35" s="1"/>
  <c r="R26" i="35"/>
  <c r="S26" i="35" s="1"/>
  <c r="R37" i="35"/>
  <c r="S37" i="35" s="1"/>
  <c r="R34" i="35"/>
  <c r="S34" i="35" s="1"/>
  <c r="R27" i="35"/>
  <c r="S27" i="35" s="1"/>
  <c r="K19" i="3" l="1"/>
  <c r="P19" i="3" s="1"/>
  <c r="K22" i="3"/>
  <c r="P22" i="3" s="1"/>
  <c r="R31" i="36"/>
  <c r="S31" i="36" s="1"/>
  <c r="R28" i="36"/>
  <c r="S28" i="36" s="1"/>
  <c r="R39" i="36"/>
  <c r="S39" i="36" s="1"/>
  <c r="R52" i="36"/>
  <c r="S52" i="36" s="1"/>
  <c r="R26" i="36"/>
  <c r="S26" i="36" s="1"/>
  <c r="R34" i="36"/>
  <c r="S34" i="36" s="1"/>
  <c r="R40" i="36"/>
  <c r="S40" i="36" s="1"/>
  <c r="R44" i="36"/>
  <c r="S44" i="36" s="1"/>
  <c r="R47" i="36"/>
  <c r="S47" i="36" s="1"/>
  <c r="R54" i="36"/>
  <c r="S54" i="36" s="1"/>
  <c r="R42" i="36"/>
  <c r="S42" i="36" s="1"/>
  <c r="R32" i="36"/>
  <c r="S32" i="36" s="1"/>
  <c r="R48" i="36"/>
  <c r="S48" i="36" s="1"/>
  <c r="R41" i="36"/>
  <c r="S41" i="36" s="1"/>
  <c r="R30" i="36"/>
  <c r="S30" i="36" s="1"/>
  <c r="R46" i="36"/>
  <c r="S46" i="36" s="1"/>
  <c r="R27" i="36"/>
  <c r="S27" i="36" s="1"/>
  <c r="R53" i="36"/>
  <c r="S53" i="36" s="1"/>
  <c r="R33" i="36"/>
  <c r="S33" i="36" s="1"/>
  <c r="R51" i="36"/>
  <c r="S51" i="36" s="1"/>
  <c r="R36" i="36"/>
  <c r="S36" i="36" s="1"/>
  <c r="R45" i="36"/>
  <c r="S45" i="36" s="1"/>
  <c r="R22" i="36"/>
  <c r="S22" i="36" s="1"/>
  <c r="R25" i="36"/>
  <c r="S25" i="36" s="1"/>
  <c r="R49" i="36"/>
  <c r="S49" i="36" s="1"/>
  <c r="R37" i="36"/>
  <c r="S37" i="36" s="1"/>
  <c r="R43" i="36"/>
  <c r="S43" i="36" s="1"/>
  <c r="R38" i="36"/>
  <c r="S38" i="36" s="1"/>
  <c r="R35" i="36"/>
  <c r="S35" i="36" s="1"/>
  <c r="R50" i="36"/>
  <c r="S50" i="36" s="1"/>
  <c r="R29" i="36"/>
  <c r="S29" i="36" s="1"/>
  <c r="D9" i="1"/>
  <c r="C9" i="1"/>
  <c r="D10" i="1"/>
  <c r="C11" i="1"/>
  <c r="C10" i="1"/>
  <c r="D11" i="1"/>
  <c r="C29" i="3" l="1"/>
  <c r="R58" i="36"/>
  <c r="S58" i="36" s="1"/>
  <c r="R64" i="36"/>
  <c r="S64" i="36" s="1"/>
  <c r="R63" i="36"/>
  <c r="S63" i="36" s="1"/>
  <c r="R61" i="36"/>
  <c r="S61" i="36" s="1"/>
  <c r="R60" i="36"/>
  <c r="S60" i="36" s="1"/>
  <c r="R65" i="36"/>
  <c r="S65" i="36" s="1"/>
  <c r="R66" i="36"/>
  <c r="S66" i="36" s="1"/>
  <c r="R57" i="36"/>
  <c r="S57" i="36" s="1"/>
  <c r="R59" i="36"/>
  <c r="S59" i="36" s="1"/>
  <c r="R68" i="36"/>
  <c r="S68" i="36" s="1"/>
  <c r="R69" i="36"/>
  <c r="S69" i="36" s="1"/>
  <c r="R67" i="36"/>
  <c r="S67" i="36" s="1"/>
  <c r="R62" i="36"/>
  <c r="S62" i="36" s="1"/>
  <c r="R55" i="36"/>
  <c r="S55" i="36" s="1"/>
  <c r="R56" i="36"/>
  <c r="S56" i="36" s="1"/>
  <c r="D5" i="1" l="1"/>
  <c r="D8" i="1"/>
  <c r="C8" i="1"/>
  <c r="D7" i="1"/>
  <c r="C7" i="1"/>
  <c r="D6" i="1"/>
  <c r="C6" i="1"/>
  <c r="D4" i="1"/>
  <c r="C5" i="1"/>
  <c r="C4" i="1"/>
  <c r="I11" i="1"/>
  <c r="H11" i="1"/>
  <c r="G11" i="1"/>
  <c r="I10" i="1"/>
  <c r="H10" i="1"/>
  <c r="G10" i="1"/>
  <c r="I9" i="1"/>
  <c r="H9" i="1"/>
  <c r="G9" i="1"/>
  <c r="I8" i="1"/>
  <c r="H8" i="1"/>
  <c r="G8" i="1"/>
  <c r="I7" i="1"/>
  <c r="G7" i="1"/>
  <c r="I6" i="1"/>
  <c r="G6" i="1"/>
  <c r="I5" i="1"/>
  <c r="G5" i="1"/>
  <c r="I4" i="1"/>
  <c r="F4" i="1"/>
  <c r="H4" i="1" l="1"/>
  <c r="G4" i="1"/>
  <c r="F9" i="1" l="1"/>
  <c r="F11" i="1"/>
  <c r="F8" i="1"/>
  <c r="F10" i="1" l="1"/>
  <c r="H5" i="1" l="1"/>
  <c r="F5" i="1"/>
  <c r="F6" i="1"/>
  <c r="F7" i="1" l="1"/>
  <c r="H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F091E711-E88A-4D52-A0E5-356243B7A2D5}">
      <text>
        <r>
          <rPr>
            <b/>
            <sz val="9"/>
            <color indexed="81"/>
            <rFont val="Tahoma"/>
            <family val="2"/>
          </rPr>
          <t>cmcneil:</t>
        </r>
        <r>
          <rPr>
            <sz val="9"/>
            <color indexed="81"/>
            <rFont val="Tahoma"/>
            <family val="2"/>
          </rPr>
          <t xml:space="preserve">
Date of site visit</t>
        </r>
      </text>
    </comment>
    <comment ref="B4" authorId="0" shapeId="0" xr:uid="{8EE67115-603C-43EA-9C23-8DE9E2FBE41C}">
      <text>
        <r>
          <rPr>
            <b/>
            <sz val="9"/>
            <color indexed="81"/>
            <rFont val="Tahoma"/>
            <family val="2"/>
          </rPr>
          <t>cmcneil:</t>
        </r>
        <r>
          <rPr>
            <sz val="9"/>
            <color indexed="81"/>
            <rFont val="Tahoma"/>
            <family val="2"/>
          </rPr>
          <t xml:space="preserve">
Notebook field data can be found in</t>
        </r>
      </text>
    </comment>
    <comment ref="C4" authorId="0" shapeId="0" xr:uid="{E17F9513-E12E-4181-A88E-39E9E4A56489}">
      <text>
        <r>
          <rPr>
            <b/>
            <sz val="9"/>
            <color indexed="81"/>
            <rFont val="Tahoma"/>
            <family val="2"/>
          </rPr>
          <t>cmcneil:</t>
        </r>
        <r>
          <rPr>
            <sz val="9"/>
            <color indexed="81"/>
            <rFont val="Tahoma"/>
            <family val="2"/>
          </rPr>
          <t xml:space="preserve">
Name of the stake, eg. 17AU</t>
        </r>
      </text>
    </comment>
    <comment ref="D4" authorId="0" shapeId="0" xr:uid="{59D77887-8673-46AB-A5EE-68066ED21A69}">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C50AE9DF-A6CE-4A8D-B378-864D7D9DCDDA}">
      <text>
        <r>
          <rPr>
            <b/>
            <sz val="9"/>
            <color indexed="81"/>
            <rFont val="Tahoma"/>
            <family val="2"/>
          </rPr>
          <t>cmcneil:</t>
        </r>
        <r>
          <rPr>
            <sz val="9"/>
            <color indexed="81"/>
            <rFont val="Tahoma"/>
            <family val="2"/>
          </rPr>
          <t xml:space="preserve">
Total length of stake</t>
        </r>
      </text>
    </comment>
    <comment ref="F4" authorId="0" shapeId="0" xr:uid="{D7D47FF2-00B1-44AF-BE05-E7A17EDE8A10}">
      <text>
        <r>
          <rPr>
            <b/>
            <sz val="9"/>
            <color indexed="81"/>
            <rFont val="Tahoma"/>
            <family val="2"/>
          </rPr>
          <t>cmcneil:</t>
        </r>
        <r>
          <rPr>
            <sz val="9"/>
            <color indexed="81"/>
            <rFont val="Tahoma"/>
            <family val="2"/>
          </rPr>
          <t xml:space="preserve">
Length of stake above the surface noted in column D</t>
        </r>
      </text>
    </comment>
    <comment ref="G4" authorId="0" shapeId="0" xr:uid="{BF6BD181-8CF0-4C8E-8FB7-854F9BDB189E}">
      <text>
        <r>
          <rPr>
            <b/>
            <sz val="9"/>
            <color indexed="81"/>
            <rFont val="Tahoma"/>
            <family val="2"/>
          </rPr>
          <t>cmcneil:</t>
        </r>
        <r>
          <rPr>
            <sz val="9"/>
            <color indexed="81"/>
            <rFont val="Tahoma"/>
            <family val="2"/>
          </rPr>
          <t xml:space="preserve">
Length of stake still below the surface noted in column D</t>
        </r>
      </text>
    </comment>
    <comment ref="H4" authorId="0" shapeId="0" xr:uid="{1176EACE-21FD-4986-B873-62C18210E7DD}">
      <text>
        <r>
          <rPr>
            <b/>
            <sz val="9"/>
            <color indexed="81"/>
            <rFont val="Tahoma"/>
            <family val="2"/>
          </rPr>
          <t>cmcneil:</t>
        </r>
        <r>
          <rPr>
            <sz val="9"/>
            <color indexed="81"/>
            <rFont val="Tahoma"/>
            <family val="2"/>
          </rPr>
          <t xml:space="preserve">
Change in stake since previous site visits</t>
        </r>
      </text>
    </comment>
    <comment ref="I4" authorId="0" shapeId="0" xr:uid="{96FA930A-F7BB-4219-B8AD-3B7F33808328}">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DF2B2221-D85B-4EF7-8659-17F1AA526725}">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C7A1368A-31AD-41D3-92E7-CDCB54CC28CB}">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F0AB1704-0816-4B07-A4C9-814DD5AADFAF}">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DC15290C-7B9D-431A-BA1B-5E3CA3EED76B}">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0B2460E-F30A-4B8E-A4FD-500EE3054C12}">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15292962-3156-4976-A63F-8B13DA76639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6BCF99DA-37BD-483C-8FD7-A0A2B63FA66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F3E6AD37-99EF-4AF9-979A-A7E53E546B49}">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0BD131F-4524-4EFE-8168-3BE1CB5D76EF}">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ABF3A55A-28E5-45FD-B285-65C4D73D729B}">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12E9646C-6266-44DC-B31C-FA053811A66B}">
      <text>
        <r>
          <rPr>
            <b/>
            <sz val="9"/>
            <color indexed="81"/>
            <rFont val="Tahoma"/>
            <family val="2"/>
          </rPr>
          <t>cmcneil:</t>
        </r>
        <r>
          <rPr>
            <sz val="9"/>
            <color indexed="81"/>
            <rFont val="Tahoma"/>
            <family val="2"/>
          </rPr>
          <t xml:space="preserve">
UTM easting of stake measured with GPS</t>
        </r>
      </text>
    </comment>
    <comment ref="U4" authorId="0" shapeId="0" xr:uid="{0666EF90-E911-4C52-8A8F-F66DD4A017E0}">
      <text>
        <r>
          <rPr>
            <b/>
            <sz val="9"/>
            <color indexed="81"/>
            <rFont val="Tahoma"/>
            <family val="2"/>
          </rPr>
          <t>cmcneil:</t>
        </r>
        <r>
          <rPr>
            <sz val="9"/>
            <color indexed="81"/>
            <rFont val="Tahoma"/>
            <family val="2"/>
          </rPr>
          <t xml:space="preserve">
UTM Northing of stake measured with GPS</t>
        </r>
      </text>
    </comment>
    <comment ref="V4" authorId="0" shapeId="0" xr:uid="{3958C712-60D7-4767-A0EC-67A27167BFBC}">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4E2CDDCD-90D3-471A-B1D9-CB5CE462AEAB}">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E0632E01-7817-4F05-B620-45BDDAADFF2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B734E91-F905-495D-995D-5DF10CF3487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5E84B44-1F23-4601-B262-95EBFAFEAF5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63C65E5-C3C8-44FC-AFA3-012C345D607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B3BF07C-2C53-4224-AE69-F173EDF4F844}">
      <text>
        <r>
          <rPr>
            <sz val="8"/>
            <color indexed="81"/>
            <rFont val="Tahoma"/>
            <family val="2"/>
          </rPr>
          <t xml:space="preserve">Sipre coring auger=45.6cm2 
large tube 41.05 cm2       
small tube 25.6   cm2          
Snow Metrics 1000 cm^3
</t>
        </r>
      </text>
    </comment>
    <comment ref="A10" authorId="0" shapeId="0" xr:uid="{47DBE317-C645-4A5D-A7B7-73D3946A966C}">
      <text>
        <r>
          <rPr>
            <b/>
            <sz val="9"/>
            <color indexed="81"/>
            <rFont val="Tahoma"/>
            <family val="2"/>
          </rPr>
          <t>cmcneil:</t>
        </r>
        <r>
          <rPr>
            <sz val="9"/>
            <color indexed="81"/>
            <rFont val="Tahoma"/>
            <family val="2"/>
          </rPr>
          <t xml:space="preserve">
What was used to measure snow depth</t>
        </r>
      </text>
    </comment>
    <comment ref="B10" authorId="0" shapeId="0" xr:uid="{DBF08718-7875-4610-86FE-A5BFF98BAD08}">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9DD835E-39D6-4D74-9C90-322B34A8A72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63BE4367-5BE2-40A7-9A10-B304883D577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4A923A93-47D3-42EA-9677-C45803B5920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0923ABB-0686-42F1-A5B4-FDA72D5DA21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3DBFBDE-3877-423D-ADCD-E4C71C41CF8A}">
      <text>
        <r>
          <rPr>
            <sz val="8"/>
            <color indexed="81"/>
            <rFont val="Tahoma"/>
            <family val="2"/>
          </rPr>
          <t xml:space="preserve">Sipre coring auger=45.6cm2 
large tube 41.05 cm2       
small tube 25.6   cm2          
Snow Metrics 1000 cm^3
</t>
        </r>
      </text>
    </comment>
    <comment ref="D9" authorId="0" shapeId="0" xr:uid="{EA819ADB-19A4-453E-83A5-2B87B24F7275}">
      <text>
        <r>
          <rPr>
            <b/>
            <sz val="9"/>
            <color indexed="81"/>
            <rFont val="Tahoma"/>
            <family val="2"/>
          </rPr>
          <t>cmcneil:</t>
        </r>
        <r>
          <rPr>
            <sz val="9"/>
            <color indexed="81"/>
            <rFont val="Tahoma"/>
            <family val="2"/>
          </rPr>
          <t xml:space="preserve">
Measurements of core lengths.</t>
        </r>
      </text>
    </comment>
    <comment ref="H9" authorId="0" shapeId="0" xr:uid="{670BC4D0-6A17-414B-B8EC-A8D34513E3EB}">
      <text>
        <r>
          <rPr>
            <b/>
            <sz val="9"/>
            <color indexed="81"/>
            <rFont val="Tahoma"/>
            <family val="2"/>
          </rPr>
          <t>cmcneil:</t>
        </r>
        <r>
          <rPr>
            <sz val="9"/>
            <color indexed="81"/>
            <rFont val="Tahoma"/>
            <family val="2"/>
          </rPr>
          <t xml:space="preserve">
Measurements of core diameter</t>
        </r>
      </text>
    </comment>
    <comment ref="A10" authorId="0" shapeId="0" xr:uid="{41F93C0A-C7B4-48C5-AFD9-F7EF726C224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6A505971-579B-4B38-83AC-24599EB23635}">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A74A0A57-277B-4096-BBD8-3C753E50D4EE}">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6E20E07A-C831-42D8-9E37-9264AB7365FB}">
      <text>
        <r>
          <rPr>
            <b/>
            <sz val="9"/>
            <color indexed="81"/>
            <rFont val="Tahoma"/>
            <family val="2"/>
          </rPr>
          <t>cmcneil:</t>
        </r>
        <r>
          <rPr>
            <sz val="9"/>
            <color indexed="81"/>
            <rFont val="Tahoma"/>
            <family val="2"/>
          </rPr>
          <t xml:space="preserve">
Average of all measured lengths of core section</t>
        </r>
      </text>
    </comment>
    <comment ref="L10" authorId="0" shapeId="0" xr:uid="{6B8542D1-8991-4540-B7D4-1BEA3E506A23}">
      <text>
        <r>
          <rPr>
            <b/>
            <sz val="9"/>
            <color indexed="81"/>
            <rFont val="Tahoma"/>
            <family val="2"/>
          </rPr>
          <t>cmcneil:</t>
        </r>
        <r>
          <rPr>
            <sz val="9"/>
            <color indexed="81"/>
            <rFont val="Tahoma"/>
            <family val="2"/>
          </rPr>
          <t xml:space="preserve">
Average of all diameters measured for each core section</t>
        </r>
      </text>
    </comment>
    <comment ref="M10" authorId="0" shapeId="0" xr:uid="{F613E5F0-B32A-4AFA-B7D0-A1CB5C806EA1}">
      <text>
        <r>
          <rPr>
            <b/>
            <sz val="9"/>
            <color indexed="81"/>
            <rFont val="Tahoma"/>
            <family val="2"/>
          </rPr>
          <t>cmcneil:</t>
        </r>
        <r>
          <rPr>
            <sz val="9"/>
            <color indexed="81"/>
            <rFont val="Tahoma"/>
            <family val="2"/>
          </rPr>
          <t xml:space="preserve">
Volume of sample taken</t>
        </r>
      </text>
    </comment>
    <comment ref="N10" authorId="0" shapeId="0" xr:uid="{77291732-A376-4BB5-A355-040FBD288A08}">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5AA3BD62-84CB-45DE-8600-5E4D5122CEC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731E50C-158F-44CE-BF47-B08FAC94EED5}">
      <text>
        <r>
          <rPr>
            <b/>
            <sz val="9"/>
            <color indexed="81"/>
            <rFont val="Tahoma"/>
            <family val="2"/>
          </rPr>
          <t>cmcneil:</t>
        </r>
        <r>
          <rPr>
            <sz val="9"/>
            <color indexed="81"/>
            <rFont val="Tahoma"/>
            <family val="2"/>
          </rPr>
          <t xml:space="preserve">
Density of sample. Calculated from the mass/volume</t>
        </r>
      </text>
    </comment>
    <comment ref="Q10" authorId="0" shapeId="0" xr:uid="{2116C9E1-18EC-424F-95F5-59BE5C63B6F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FA835554-F4E8-4D3B-A76A-15D209F2942B}">
      <text>
        <r>
          <rPr>
            <b/>
            <sz val="9"/>
            <color indexed="81"/>
            <rFont val="Tahoma"/>
            <family val="2"/>
          </rPr>
          <t>cmcneil:</t>
        </r>
        <r>
          <rPr>
            <sz val="9"/>
            <color indexed="81"/>
            <rFont val="Tahoma"/>
            <family val="2"/>
          </rPr>
          <t xml:space="preserve">
Cummulative s.w.e. of from surface to the depth of each sample</t>
        </r>
      </text>
    </comment>
    <comment ref="S10" authorId="0" shapeId="0" xr:uid="{AAF7906A-BF68-44CC-82F2-9030F9B182EA}">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5CB9FED2-4428-4A22-A95B-D98075250422}">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61D39BAC-AF87-48A1-B45A-C9389F072749}">
      <text>
        <r>
          <rPr>
            <b/>
            <sz val="9"/>
            <color indexed="81"/>
            <rFont val="Tahoma"/>
            <family val="2"/>
          </rPr>
          <t>cmcneil:</t>
        </r>
        <r>
          <rPr>
            <sz val="9"/>
            <color indexed="81"/>
            <rFont val="Tahoma"/>
            <family val="2"/>
          </rPr>
          <t xml:space="preserve">
What was used to measure snow depth</t>
        </r>
      </text>
    </comment>
    <comment ref="V10" authorId="0" shapeId="0" xr:uid="{60E80B88-158E-42E4-8C8B-5708230DC546}">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C69D6F14-B840-4BD8-8530-A873AF5AB78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B732598-FD5A-4366-976A-49C9758110B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3FBD537-7EFC-4047-8575-3785196B0D9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BF0D806-169D-45F4-B241-DC89D10EC3F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6FF4A0B-67DD-4CB2-80C5-077AD7D6CFF4}">
      <text>
        <r>
          <rPr>
            <sz val="8"/>
            <color indexed="81"/>
            <rFont val="Tahoma"/>
            <family val="2"/>
          </rPr>
          <t xml:space="preserve">Sipre coring auger=45.6cm2 
large tube 41.05 cm2       
small tube 25.6   cm2          
Snow Metrics 1000 cm^3
</t>
        </r>
      </text>
    </comment>
    <comment ref="D9" authorId="0" shapeId="0" xr:uid="{1A304E90-C8D2-493A-9E5B-ADB9966F102F}">
      <text>
        <r>
          <rPr>
            <b/>
            <sz val="9"/>
            <color indexed="81"/>
            <rFont val="Tahoma"/>
            <family val="2"/>
          </rPr>
          <t>cmcneil:</t>
        </r>
        <r>
          <rPr>
            <sz val="9"/>
            <color indexed="81"/>
            <rFont val="Tahoma"/>
            <family val="2"/>
          </rPr>
          <t xml:space="preserve">
Measurements of core lengths.</t>
        </r>
      </text>
    </comment>
    <comment ref="H9" authorId="0" shapeId="0" xr:uid="{12907F2C-7F2B-487B-8636-A278F0CF5E48}">
      <text>
        <r>
          <rPr>
            <b/>
            <sz val="9"/>
            <color indexed="81"/>
            <rFont val="Tahoma"/>
            <family val="2"/>
          </rPr>
          <t>cmcneil:</t>
        </r>
        <r>
          <rPr>
            <sz val="9"/>
            <color indexed="81"/>
            <rFont val="Tahoma"/>
            <family val="2"/>
          </rPr>
          <t xml:space="preserve">
Measurements of core diameter</t>
        </r>
      </text>
    </comment>
    <comment ref="A10" authorId="0" shapeId="0" xr:uid="{EC357C2A-0E86-4562-BB14-12FC037C10C7}">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C56ACE22-678F-4272-B1C8-AAF6F294A8B1}">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51054CE-6606-49BD-8F9C-BBC6346D4A4C}">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01C6F69-DE3C-4E8A-BC32-F780C2F6C4F8}">
      <text>
        <r>
          <rPr>
            <b/>
            <sz val="9"/>
            <color indexed="81"/>
            <rFont val="Tahoma"/>
            <family val="2"/>
          </rPr>
          <t>cmcneil:</t>
        </r>
        <r>
          <rPr>
            <sz val="9"/>
            <color indexed="81"/>
            <rFont val="Tahoma"/>
            <family val="2"/>
          </rPr>
          <t xml:space="preserve">
Average of all measured lengths of core section</t>
        </r>
      </text>
    </comment>
    <comment ref="L10" authorId="0" shapeId="0" xr:uid="{8D6A6F8A-35DF-423E-9705-A6C8C0AF6D33}">
      <text>
        <r>
          <rPr>
            <b/>
            <sz val="9"/>
            <color indexed="81"/>
            <rFont val="Tahoma"/>
            <family val="2"/>
          </rPr>
          <t>cmcneil:</t>
        </r>
        <r>
          <rPr>
            <sz val="9"/>
            <color indexed="81"/>
            <rFont val="Tahoma"/>
            <family val="2"/>
          </rPr>
          <t xml:space="preserve">
Average of all diameters measured for each core section</t>
        </r>
      </text>
    </comment>
    <comment ref="M10" authorId="0" shapeId="0" xr:uid="{9E54C6F2-0764-4E59-8486-84F7A157C61B}">
      <text>
        <r>
          <rPr>
            <b/>
            <sz val="9"/>
            <color indexed="81"/>
            <rFont val="Tahoma"/>
            <family val="2"/>
          </rPr>
          <t>cmcneil:</t>
        </r>
        <r>
          <rPr>
            <sz val="9"/>
            <color indexed="81"/>
            <rFont val="Tahoma"/>
            <family val="2"/>
          </rPr>
          <t xml:space="preserve">
Volume of sample taken</t>
        </r>
      </text>
    </comment>
    <comment ref="N10" authorId="0" shapeId="0" xr:uid="{BBF117E5-FCB2-45CB-92C9-305FE1B0ADF4}">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149DF909-C71D-41A8-AE33-F4E634C9470D}">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7B5755D9-4238-4E4D-9D43-E7F4FD9F1B85}">
      <text>
        <r>
          <rPr>
            <b/>
            <sz val="9"/>
            <color indexed="81"/>
            <rFont val="Tahoma"/>
            <family val="2"/>
          </rPr>
          <t>cmcneil:</t>
        </r>
        <r>
          <rPr>
            <sz val="9"/>
            <color indexed="81"/>
            <rFont val="Tahoma"/>
            <family val="2"/>
          </rPr>
          <t xml:space="preserve">
Density of sample. Calculated from the mass/volume</t>
        </r>
      </text>
    </comment>
    <comment ref="Q10" authorId="0" shapeId="0" xr:uid="{913CBE0E-2D84-4D4D-A842-2D8D8025DEA4}">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9F70D5AD-9307-4DAE-85DC-945F7C3BFA4D}">
      <text>
        <r>
          <rPr>
            <b/>
            <sz val="9"/>
            <color indexed="81"/>
            <rFont val="Tahoma"/>
            <family val="2"/>
          </rPr>
          <t>cmcneil:</t>
        </r>
        <r>
          <rPr>
            <sz val="9"/>
            <color indexed="81"/>
            <rFont val="Tahoma"/>
            <family val="2"/>
          </rPr>
          <t xml:space="preserve">
Cummulative s.w.e. of from surface to the depth of each sample</t>
        </r>
      </text>
    </comment>
    <comment ref="S10" authorId="0" shapeId="0" xr:uid="{4EAD3425-3FD5-4AF7-8AC3-DDA67B118DE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5F651B07-D500-4C1F-B31D-91764BD9273B}">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0589CFCA-F094-4BCA-8591-583995B92093}">
      <text>
        <r>
          <rPr>
            <b/>
            <sz val="9"/>
            <color indexed="81"/>
            <rFont val="Tahoma"/>
            <family val="2"/>
          </rPr>
          <t>cmcneil:</t>
        </r>
        <r>
          <rPr>
            <sz val="9"/>
            <color indexed="81"/>
            <rFont val="Tahoma"/>
            <family val="2"/>
          </rPr>
          <t xml:space="preserve">
What was used to measure snow depth</t>
        </r>
      </text>
    </comment>
    <comment ref="V10" authorId="0" shapeId="0" xr:uid="{7DC766B6-795C-42E8-89A7-500F48BDD63B}">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CB78CCF-580E-4288-A428-7EA6C2E604B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80FEFB35-217C-4FF7-A14E-72F57E450FC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824D257-3411-42EE-88C9-2DFC0DF1DF0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C84F129-245B-43D9-9643-D9C53AC93B2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E9D0D50-FA3F-403A-8985-E0A42016D057}">
      <text>
        <r>
          <rPr>
            <sz val="8"/>
            <color indexed="81"/>
            <rFont val="Tahoma"/>
            <family val="2"/>
          </rPr>
          <t xml:space="preserve">Sipre coring auger=45.6cm2 
large tube 41.05 cm2       
small tube 25.6   cm2          
Snow Metrics 1000 cm^3
</t>
        </r>
      </text>
    </comment>
    <comment ref="D9" authorId="0" shapeId="0" xr:uid="{4AD0672E-1F09-4D6B-AF2B-8B970D537DC4}">
      <text>
        <r>
          <rPr>
            <b/>
            <sz val="9"/>
            <color indexed="81"/>
            <rFont val="Tahoma"/>
            <family val="2"/>
          </rPr>
          <t>cmcneil:</t>
        </r>
        <r>
          <rPr>
            <sz val="9"/>
            <color indexed="81"/>
            <rFont val="Tahoma"/>
            <family val="2"/>
          </rPr>
          <t xml:space="preserve">
Measurements of core lengths.</t>
        </r>
      </text>
    </comment>
    <comment ref="H9" authorId="0" shapeId="0" xr:uid="{246F974A-6356-4664-8D09-734C8797EC8C}">
      <text>
        <r>
          <rPr>
            <b/>
            <sz val="9"/>
            <color indexed="81"/>
            <rFont val="Tahoma"/>
            <family val="2"/>
          </rPr>
          <t>cmcneil:</t>
        </r>
        <r>
          <rPr>
            <sz val="9"/>
            <color indexed="81"/>
            <rFont val="Tahoma"/>
            <family val="2"/>
          </rPr>
          <t xml:space="preserve">
Measurements of core diameter</t>
        </r>
      </text>
    </comment>
    <comment ref="A10" authorId="0" shapeId="0" xr:uid="{46C91444-CBC7-4FDF-9406-254DBC876FA6}">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41BAB1C-B435-426B-9043-5A60D32F0C1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F9F9805-9BCF-4203-8360-690CE991A935}">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4EEFD22A-51CA-4C30-A2B7-165F66C7AF0B}">
      <text>
        <r>
          <rPr>
            <b/>
            <sz val="9"/>
            <color indexed="81"/>
            <rFont val="Tahoma"/>
            <family val="2"/>
          </rPr>
          <t>cmcneil:</t>
        </r>
        <r>
          <rPr>
            <sz val="9"/>
            <color indexed="81"/>
            <rFont val="Tahoma"/>
            <family val="2"/>
          </rPr>
          <t xml:space="preserve">
Average of all measured lengths of core section</t>
        </r>
      </text>
    </comment>
    <comment ref="L10" authorId="0" shapeId="0" xr:uid="{78D9B265-22FE-4ACA-8E4D-9EF14BD26002}">
      <text>
        <r>
          <rPr>
            <b/>
            <sz val="9"/>
            <color indexed="81"/>
            <rFont val="Tahoma"/>
            <family val="2"/>
          </rPr>
          <t>cmcneil:</t>
        </r>
        <r>
          <rPr>
            <sz val="9"/>
            <color indexed="81"/>
            <rFont val="Tahoma"/>
            <family val="2"/>
          </rPr>
          <t xml:space="preserve">
Average of all diameters measured for each core section</t>
        </r>
      </text>
    </comment>
    <comment ref="M10" authorId="0" shapeId="0" xr:uid="{DAA7E70C-E2EF-471C-8E90-3824DB899964}">
      <text>
        <r>
          <rPr>
            <b/>
            <sz val="9"/>
            <color indexed="81"/>
            <rFont val="Tahoma"/>
            <family val="2"/>
          </rPr>
          <t>cmcneil:</t>
        </r>
        <r>
          <rPr>
            <sz val="9"/>
            <color indexed="81"/>
            <rFont val="Tahoma"/>
            <family val="2"/>
          </rPr>
          <t xml:space="preserve">
Volume of sample taken</t>
        </r>
      </text>
    </comment>
    <comment ref="N10" authorId="0" shapeId="0" xr:uid="{E7021C32-3712-4530-8BF5-DF4915F2EC9C}">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0FD2E32E-B19B-4A03-A3AA-D4C04E49CDF8}">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8432F6F5-1719-44BB-B35C-67737F881E8E}">
      <text>
        <r>
          <rPr>
            <b/>
            <sz val="9"/>
            <color indexed="81"/>
            <rFont val="Tahoma"/>
            <family val="2"/>
          </rPr>
          <t>cmcneil:</t>
        </r>
        <r>
          <rPr>
            <sz val="9"/>
            <color indexed="81"/>
            <rFont val="Tahoma"/>
            <family val="2"/>
          </rPr>
          <t xml:space="preserve">
Density of sample. Calculated from the mass/volume</t>
        </r>
      </text>
    </comment>
    <comment ref="Q10" authorId="0" shapeId="0" xr:uid="{9C4DAEC4-2D79-4094-91B8-415C8CCB1AC2}">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17A393AC-79B1-49B9-A89F-6AAC8F54EAFA}">
      <text>
        <r>
          <rPr>
            <b/>
            <sz val="9"/>
            <color indexed="81"/>
            <rFont val="Tahoma"/>
            <family val="2"/>
          </rPr>
          <t>cmcneil:</t>
        </r>
        <r>
          <rPr>
            <sz val="9"/>
            <color indexed="81"/>
            <rFont val="Tahoma"/>
            <family val="2"/>
          </rPr>
          <t xml:space="preserve">
Cummulative s.w.e. of from surface to the depth of each sample</t>
        </r>
      </text>
    </comment>
    <comment ref="S10" authorId="0" shapeId="0" xr:uid="{60D84B5F-2073-4B97-95BD-A3C5993AFFC7}">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B259484A-3D33-4F46-9084-DE11BD4E488B}">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408EF594-FF8F-478A-9AD1-F8BDF5684BA4}">
      <text>
        <r>
          <rPr>
            <b/>
            <sz val="9"/>
            <color indexed="81"/>
            <rFont val="Tahoma"/>
            <family val="2"/>
          </rPr>
          <t>cmcneil:</t>
        </r>
        <r>
          <rPr>
            <sz val="9"/>
            <color indexed="81"/>
            <rFont val="Tahoma"/>
            <family val="2"/>
          </rPr>
          <t xml:space="preserve">
What was used to measure snow depth</t>
        </r>
      </text>
    </comment>
    <comment ref="V10" authorId="0" shapeId="0" xr:uid="{9BCBA818-47EE-4BC2-915C-C4A3302C562A}">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12118EA0-B1A7-4AA5-856C-7DA3CC4433A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7788CE80-642E-49A3-877D-85625FE2981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799742BD-62E0-415B-97E2-4F39D44B6F2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96CF116-E1DD-4E75-93B0-05E396D9996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A086EA9-49B9-4F31-8C77-EF6CE395D47E}">
      <text>
        <r>
          <rPr>
            <sz val="8"/>
            <color indexed="81"/>
            <rFont val="Tahoma"/>
            <family val="2"/>
          </rPr>
          <t xml:space="preserve">Sipre coring auger=45.6cm2 
large tube 41.05 cm2       
small tube 25.6   cm2          
Snow Metrics 1000 cm^3
</t>
        </r>
      </text>
    </comment>
    <comment ref="D9" authorId="0" shapeId="0" xr:uid="{A2FFD0C1-D1A9-4155-98E5-037BC68C5443}">
      <text>
        <r>
          <rPr>
            <b/>
            <sz val="9"/>
            <color indexed="81"/>
            <rFont val="Tahoma"/>
            <family val="2"/>
          </rPr>
          <t>cmcneil:</t>
        </r>
        <r>
          <rPr>
            <sz val="9"/>
            <color indexed="81"/>
            <rFont val="Tahoma"/>
            <family val="2"/>
          </rPr>
          <t xml:space="preserve">
Measurements of core lengths.</t>
        </r>
      </text>
    </comment>
    <comment ref="H9" authorId="0" shapeId="0" xr:uid="{0BBC0D28-E00C-479C-874C-92827EC4343F}">
      <text>
        <r>
          <rPr>
            <b/>
            <sz val="9"/>
            <color indexed="81"/>
            <rFont val="Tahoma"/>
            <family val="2"/>
          </rPr>
          <t>cmcneil:</t>
        </r>
        <r>
          <rPr>
            <sz val="9"/>
            <color indexed="81"/>
            <rFont val="Tahoma"/>
            <family val="2"/>
          </rPr>
          <t xml:space="preserve">
Measurements of core diameter</t>
        </r>
      </text>
    </comment>
    <comment ref="A10" authorId="0" shapeId="0" xr:uid="{98E78285-5829-47E3-8D18-D48BD9674F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00810C6-9F32-4DDC-8830-9FCC49F1F8A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493B9BE5-1FF7-4E5B-8A2A-96D7EEA771E4}">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6BF7281F-25DE-44C1-8E85-6BBC53BFF636}">
      <text>
        <r>
          <rPr>
            <b/>
            <sz val="9"/>
            <color indexed="81"/>
            <rFont val="Tahoma"/>
            <family val="2"/>
          </rPr>
          <t>cmcneil:</t>
        </r>
        <r>
          <rPr>
            <sz val="9"/>
            <color indexed="81"/>
            <rFont val="Tahoma"/>
            <family val="2"/>
          </rPr>
          <t xml:space="preserve">
Average of all measured lengths of core section</t>
        </r>
      </text>
    </comment>
    <comment ref="L10" authorId="0" shapeId="0" xr:uid="{0C030FFD-ECB7-4066-ABDD-91879D868236}">
      <text>
        <r>
          <rPr>
            <b/>
            <sz val="9"/>
            <color indexed="81"/>
            <rFont val="Tahoma"/>
            <family val="2"/>
          </rPr>
          <t>cmcneil:</t>
        </r>
        <r>
          <rPr>
            <sz val="9"/>
            <color indexed="81"/>
            <rFont val="Tahoma"/>
            <family val="2"/>
          </rPr>
          <t xml:space="preserve">
Average of all diameters measured for each core section</t>
        </r>
      </text>
    </comment>
    <comment ref="M10" authorId="0" shapeId="0" xr:uid="{72BFBD84-19C3-49FC-975A-65F4CE559C3E}">
      <text>
        <r>
          <rPr>
            <b/>
            <sz val="9"/>
            <color indexed="81"/>
            <rFont val="Tahoma"/>
            <family val="2"/>
          </rPr>
          <t>cmcneil:</t>
        </r>
        <r>
          <rPr>
            <sz val="9"/>
            <color indexed="81"/>
            <rFont val="Tahoma"/>
            <family val="2"/>
          </rPr>
          <t xml:space="preserve">
Volume of sample taken</t>
        </r>
      </text>
    </comment>
    <comment ref="N10" authorId="0" shapeId="0" xr:uid="{EF3EDDDD-4851-4722-A3F4-A4E10823D72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C281E918-6D51-400E-84C2-876A382BAD0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80C07264-D178-43B3-A5E9-32BD8E309E42}">
      <text>
        <r>
          <rPr>
            <b/>
            <sz val="9"/>
            <color indexed="81"/>
            <rFont val="Tahoma"/>
            <family val="2"/>
          </rPr>
          <t>cmcneil:</t>
        </r>
        <r>
          <rPr>
            <sz val="9"/>
            <color indexed="81"/>
            <rFont val="Tahoma"/>
            <family val="2"/>
          </rPr>
          <t xml:space="preserve">
Density of sample. Calculated from the mass/volume</t>
        </r>
      </text>
    </comment>
    <comment ref="Q10" authorId="0" shapeId="0" xr:uid="{0ECAEF7B-39D9-4156-8885-61B5BA0765F5}">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D294997D-C7B5-41F6-87A8-42981A158357}">
      <text>
        <r>
          <rPr>
            <b/>
            <sz val="9"/>
            <color indexed="81"/>
            <rFont val="Tahoma"/>
            <family val="2"/>
          </rPr>
          <t>cmcneil:</t>
        </r>
        <r>
          <rPr>
            <sz val="9"/>
            <color indexed="81"/>
            <rFont val="Tahoma"/>
            <family val="2"/>
          </rPr>
          <t xml:space="preserve">
Cummulative s.w.e. of from surface to the depth of each sample</t>
        </r>
      </text>
    </comment>
    <comment ref="S10" authorId="0" shapeId="0" xr:uid="{6EBF6C3F-94DB-4000-B703-66DEA427AEA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B96BA1AF-27CE-4FAF-9B76-955D2A8DC1CC}">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DEF865DA-7321-408F-9133-A29B3A4F2150}">
      <text>
        <r>
          <rPr>
            <b/>
            <sz val="9"/>
            <color indexed="81"/>
            <rFont val="Tahoma"/>
            <family val="2"/>
          </rPr>
          <t>cmcneil:</t>
        </r>
        <r>
          <rPr>
            <sz val="9"/>
            <color indexed="81"/>
            <rFont val="Tahoma"/>
            <family val="2"/>
          </rPr>
          <t xml:space="preserve">
What was used to measure snow depth</t>
        </r>
      </text>
    </comment>
    <comment ref="V10" authorId="0" shapeId="0" xr:uid="{30AF69BA-6D0D-427B-B786-29568BC62B1F}">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CCB6744-DC5A-453A-A269-45BD46FB65B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8613A054-D413-4F3D-A125-1730EA35967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3801199-4537-4E32-991D-55B2AC16AB14}">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3B19D83-9570-4D13-AA91-81A55C5D416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079ACF0-0DF8-45B1-A125-3006164FA550}">
      <text>
        <r>
          <rPr>
            <sz val="8"/>
            <color indexed="81"/>
            <rFont val="Tahoma"/>
            <family val="2"/>
          </rPr>
          <t xml:space="preserve">Sipre coring auger=45.6cm2 
large tube 41.05 cm2       
small tube 25.6   cm2          
Snow Metrics 1000 cm^3
</t>
        </r>
      </text>
    </comment>
    <comment ref="D9" authorId="0" shapeId="0" xr:uid="{3E55D003-DE85-442E-A69B-4E32FBF30C1C}">
      <text>
        <r>
          <rPr>
            <b/>
            <sz val="9"/>
            <color indexed="81"/>
            <rFont val="Tahoma"/>
            <family val="2"/>
          </rPr>
          <t>cmcneil:</t>
        </r>
        <r>
          <rPr>
            <sz val="9"/>
            <color indexed="81"/>
            <rFont val="Tahoma"/>
            <family val="2"/>
          </rPr>
          <t xml:space="preserve">
Measurements of core lengths.</t>
        </r>
      </text>
    </comment>
    <comment ref="H9" authorId="0" shapeId="0" xr:uid="{067B7B25-F756-4C59-9ECD-B49ADB5D0BD2}">
      <text>
        <r>
          <rPr>
            <b/>
            <sz val="9"/>
            <color indexed="81"/>
            <rFont val="Tahoma"/>
            <family val="2"/>
          </rPr>
          <t>cmcneil:</t>
        </r>
        <r>
          <rPr>
            <sz val="9"/>
            <color indexed="81"/>
            <rFont val="Tahoma"/>
            <family val="2"/>
          </rPr>
          <t xml:space="preserve">
Measurements of core diameter</t>
        </r>
      </text>
    </comment>
    <comment ref="A10" authorId="0" shapeId="0" xr:uid="{C1282AE4-F333-441F-8066-0B642C01DB99}">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5939627-6D03-4AC0-ADA6-7611FE57220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18B37C2-65E7-4F6A-8B8C-C829E1E59DF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B069D77E-CFF0-4BAF-90A3-5CEEF942AC5D}">
      <text>
        <r>
          <rPr>
            <b/>
            <sz val="9"/>
            <color indexed="81"/>
            <rFont val="Tahoma"/>
            <family val="2"/>
          </rPr>
          <t>cmcneil:</t>
        </r>
        <r>
          <rPr>
            <sz val="9"/>
            <color indexed="81"/>
            <rFont val="Tahoma"/>
            <family val="2"/>
          </rPr>
          <t xml:space="preserve">
Average of all measured lengths of core section</t>
        </r>
      </text>
    </comment>
    <comment ref="L10" authorId="0" shapeId="0" xr:uid="{51787E86-8DA3-4C39-8B94-9FFE3582EEB8}">
      <text>
        <r>
          <rPr>
            <b/>
            <sz val="9"/>
            <color indexed="81"/>
            <rFont val="Tahoma"/>
            <family val="2"/>
          </rPr>
          <t>cmcneil:</t>
        </r>
        <r>
          <rPr>
            <sz val="9"/>
            <color indexed="81"/>
            <rFont val="Tahoma"/>
            <family val="2"/>
          </rPr>
          <t xml:space="preserve">
Average of all diameters measured for each core section</t>
        </r>
      </text>
    </comment>
    <comment ref="M10" authorId="0" shapeId="0" xr:uid="{77B3F8EA-DC9F-4F44-ABDC-FF134743EEB8}">
      <text>
        <r>
          <rPr>
            <b/>
            <sz val="9"/>
            <color indexed="81"/>
            <rFont val="Tahoma"/>
            <family val="2"/>
          </rPr>
          <t>cmcneil:</t>
        </r>
        <r>
          <rPr>
            <sz val="9"/>
            <color indexed="81"/>
            <rFont val="Tahoma"/>
            <family val="2"/>
          </rPr>
          <t xml:space="preserve">
Volume of sample taken</t>
        </r>
      </text>
    </comment>
    <comment ref="N10" authorId="0" shapeId="0" xr:uid="{3ACC3581-7F5F-4211-904B-62D30F279C61}">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97D65E0B-DEA3-4FE2-AB6F-3E93720F47D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2FE5670E-E11E-475F-830F-4066E3A9452F}">
      <text>
        <r>
          <rPr>
            <b/>
            <sz val="9"/>
            <color indexed="81"/>
            <rFont val="Tahoma"/>
            <family val="2"/>
          </rPr>
          <t>cmcneil:</t>
        </r>
        <r>
          <rPr>
            <sz val="9"/>
            <color indexed="81"/>
            <rFont val="Tahoma"/>
            <family val="2"/>
          </rPr>
          <t xml:space="preserve">
Density of sample. Calculated from the mass/volume</t>
        </r>
      </text>
    </comment>
    <comment ref="Q10" authorId="0" shapeId="0" xr:uid="{427196C0-AB32-40A2-8847-F6204626EE1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848DE135-BBD8-4E80-BAB3-EC85E107309B}">
      <text>
        <r>
          <rPr>
            <b/>
            <sz val="9"/>
            <color indexed="81"/>
            <rFont val="Tahoma"/>
            <family val="2"/>
          </rPr>
          <t>cmcneil:</t>
        </r>
        <r>
          <rPr>
            <sz val="9"/>
            <color indexed="81"/>
            <rFont val="Tahoma"/>
            <family val="2"/>
          </rPr>
          <t xml:space="preserve">
Cummulative s.w.e. of from surface to the depth of each sample</t>
        </r>
      </text>
    </comment>
    <comment ref="S10" authorId="0" shapeId="0" xr:uid="{F9EE3287-1FD1-4AF7-96EC-BD8A779E349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25082EDA-D834-4C3F-94ED-06C290A96062}">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A0846EE2-CA62-4D3B-8D97-D14B8D90F3ED}">
      <text>
        <r>
          <rPr>
            <b/>
            <sz val="9"/>
            <color indexed="81"/>
            <rFont val="Tahoma"/>
            <family val="2"/>
          </rPr>
          <t>cmcneil:</t>
        </r>
        <r>
          <rPr>
            <sz val="9"/>
            <color indexed="81"/>
            <rFont val="Tahoma"/>
            <family val="2"/>
          </rPr>
          <t xml:space="preserve">
What was used to measure snow depth</t>
        </r>
      </text>
    </comment>
    <comment ref="V10" authorId="0" shapeId="0" xr:uid="{7163BA92-B66F-4AC7-804E-FCFD72F8A8E3}">
      <text>
        <r>
          <rPr>
            <b/>
            <sz val="9"/>
            <color indexed="81"/>
            <rFont val="Tahoma"/>
            <family val="2"/>
          </rPr>
          <t>cmcneil:</t>
        </r>
        <r>
          <rPr>
            <sz val="9"/>
            <color indexed="81"/>
            <rFont val="Tahoma"/>
            <family val="2"/>
          </rPr>
          <t xml:space="preserve">
snow depth observed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848BFA22-CE6B-4E6F-9A07-2D77373A879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9C5ED7C7-F0E4-4DD4-B722-DD3B6E410CAB}">
      <text>
        <r>
          <rPr>
            <b/>
            <sz val="9"/>
            <color indexed="81"/>
            <rFont val="Tahoma"/>
            <family val="2"/>
          </rPr>
          <t>cmcneil:</t>
        </r>
        <r>
          <rPr>
            <sz val="9"/>
            <color indexed="81"/>
            <rFont val="Tahoma"/>
            <family val="2"/>
          </rPr>
          <t xml:space="preserve">
Do not enter value. Link it to the last core sample SBD</t>
        </r>
      </text>
    </comment>
    <comment ref="H2" authorId="0" shapeId="0" xr:uid="{C8A3675B-2562-42D4-AEF8-83276E56631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B073E8DE-0F82-4FE1-9A5E-E6D547CFBEF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6A72685C-9962-4954-8056-A36DB15D39F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1107E24-5980-4C44-A85E-B8373290566E}">
      <text>
        <r>
          <rPr>
            <sz val="8"/>
            <color indexed="81"/>
            <rFont val="Tahoma"/>
            <family val="2"/>
          </rPr>
          <t xml:space="preserve">Sipre coring auger=45.6cm2 
large tube 41.05 cm2       
small tube 25.6   cm2          
Snow Metrics 1000 cm^3
</t>
        </r>
      </text>
    </comment>
    <comment ref="D9" authorId="0" shapeId="0" xr:uid="{8EE838F8-43D5-48A1-9D8E-2131ADB8E91C}">
      <text>
        <r>
          <rPr>
            <b/>
            <sz val="9"/>
            <color indexed="81"/>
            <rFont val="Tahoma"/>
            <family val="2"/>
          </rPr>
          <t>cmcneil:</t>
        </r>
        <r>
          <rPr>
            <sz val="9"/>
            <color indexed="81"/>
            <rFont val="Tahoma"/>
            <family val="2"/>
          </rPr>
          <t xml:space="preserve">
Measurements of core lengths.</t>
        </r>
      </text>
    </comment>
    <comment ref="H9" authorId="0" shapeId="0" xr:uid="{1CEEBDF2-1FAE-41D1-8228-D50F5A2DEB9F}">
      <text>
        <r>
          <rPr>
            <b/>
            <sz val="9"/>
            <color indexed="81"/>
            <rFont val="Tahoma"/>
            <family val="2"/>
          </rPr>
          <t>cmcneil:</t>
        </r>
        <r>
          <rPr>
            <sz val="9"/>
            <color indexed="81"/>
            <rFont val="Tahoma"/>
            <family val="2"/>
          </rPr>
          <t xml:space="preserve">
Measurements of core diameter</t>
        </r>
      </text>
    </comment>
    <comment ref="A10" authorId="0" shapeId="0" xr:uid="{8611DB63-BE0D-49C0-B4B7-A10AC14A9C8D}">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FE039D96-20CC-4026-88D2-74C67C738634}">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3ADFF3D7-1B76-4FBC-920F-DEE474327E6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4118580D-18D1-4905-B88D-4C21369A00AA}">
      <text>
        <r>
          <rPr>
            <b/>
            <sz val="9"/>
            <color indexed="81"/>
            <rFont val="Tahoma"/>
            <family val="2"/>
          </rPr>
          <t>cmcneil:</t>
        </r>
        <r>
          <rPr>
            <sz val="9"/>
            <color indexed="81"/>
            <rFont val="Tahoma"/>
            <family val="2"/>
          </rPr>
          <t xml:space="preserve">
Average of all measured lengths of core section</t>
        </r>
      </text>
    </comment>
    <comment ref="L10" authorId="0" shapeId="0" xr:uid="{47793262-4734-4098-AC5D-E115D0558FB6}">
      <text>
        <r>
          <rPr>
            <b/>
            <sz val="9"/>
            <color indexed="81"/>
            <rFont val="Tahoma"/>
            <family val="2"/>
          </rPr>
          <t>cmcneil:</t>
        </r>
        <r>
          <rPr>
            <sz val="9"/>
            <color indexed="81"/>
            <rFont val="Tahoma"/>
            <family val="2"/>
          </rPr>
          <t xml:space="preserve">
Average of all diameters measured for each core section</t>
        </r>
      </text>
    </comment>
    <comment ref="M10" authorId="0" shapeId="0" xr:uid="{0A293BD0-35F5-472C-A7E2-E0CDE3EE6740}">
      <text>
        <r>
          <rPr>
            <b/>
            <sz val="9"/>
            <color indexed="81"/>
            <rFont val="Tahoma"/>
            <family val="2"/>
          </rPr>
          <t>cmcneil:</t>
        </r>
        <r>
          <rPr>
            <sz val="9"/>
            <color indexed="81"/>
            <rFont val="Tahoma"/>
            <family val="2"/>
          </rPr>
          <t xml:space="preserve">
Volume of sample taken</t>
        </r>
      </text>
    </comment>
    <comment ref="N10" authorId="0" shapeId="0" xr:uid="{8C0C5E70-EF3D-4F1C-9528-7C449BA085C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B75F7EEC-F214-4C90-BBC2-0FE4DEAA5EF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E355AA77-D0F8-40BA-8F9C-5CFDFCD2EFF9}">
      <text>
        <r>
          <rPr>
            <b/>
            <sz val="9"/>
            <color indexed="81"/>
            <rFont val="Tahoma"/>
            <family val="2"/>
          </rPr>
          <t>cmcneil:</t>
        </r>
        <r>
          <rPr>
            <sz val="9"/>
            <color indexed="81"/>
            <rFont val="Tahoma"/>
            <family val="2"/>
          </rPr>
          <t xml:space="preserve">
Density of sample. Calculated from the mass/volume</t>
        </r>
      </text>
    </comment>
    <comment ref="Q10" authorId="0" shapeId="0" xr:uid="{A5DB221B-3A03-4E1A-9288-35D0F9907834}">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0B219BAD-AFE3-4B0A-B3F4-9BA89E1EEA99}">
      <text>
        <r>
          <rPr>
            <b/>
            <sz val="9"/>
            <color indexed="81"/>
            <rFont val="Tahoma"/>
            <family val="2"/>
          </rPr>
          <t>cmcneil:</t>
        </r>
        <r>
          <rPr>
            <sz val="9"/>
            <color indexed="81"/>
            <rFont val="Tahoma"/>
            <family val="2"/>
          </rPr>
          <t xml:space="preserve">
Cummulative s.w.e. of from surface to the depth of each sample</t>
        </r>
      </text>
    </comment>
    <comment ref="S10" authorId="0" shapeId="0" xr:uid="{EFA95FEE-421C-4BB1-9624-547F63DDA97E}">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BE9A713C-763E-4B3D-B38A-69023439141A}">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7F44AEDB-A534-4CF6-9888-99ECEEEE885D}">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8F21A9B1-740C-4CC7-89D9-8C0F0093BBDB}">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W10" authorId="0" shapeId="0" xr:uid="{FF8E6DAC-4386-40BD-90D7-5CDDD4474674}">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X10" authorId="0" shapeId="0" xr:uid="{D8147D05-7E0A-4E0B-9699-9FB51EB08EFF}">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Y10" authorId="0" shapeId="0" xr:uid="{FC1BC9A3-8FC6-4F2B-9C2E-D5E4C6526868}">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Z10" authorId="0" shapeId="0" xr:uid="{B831208B-E558-4926-9AB0-0E30AB383C6A}">
      <text>
        <r>
          <rPr>
            <b/>
            <sz val="9"/>
            <color indexed="81"/>
            <rFont val="Tahoma"/>
            <family val="2"/>
          </rPr>
          <t>cmcneil:</t>
        </r>
        <r>
          <rPr>
            <sz val="9"/>
            <color indexed="81"/>
            <rFont val="Tahoma"/>
            <family val="2"/>
          </rPr>
          <t xml:space="preserve">
Volume of ice in core</t>
        </r>
      </text>
    </comment>
    <comment ref="AA10" authorId="0" shapeId="0" xr:uid="{EB132A88-F7E1-4B51-8065-93D08D054BCC}">
      <text>
        <r>
          <rPr>
            <b/>
            <sz val="9"/>
            <color indexed="81"/>
            <rFont val="Tahoma"/>
            <family val="2"/>
          </rPr>
          <t>cmcneil:</t>
        </r>
        <r>
          <rPr>
            <sz val="9"/>
            <color indexed="81"/>
            <rFont val="Tahoma"/>
            <family val="2"/>
          </rPr>
          <t xml:space="preserve">
estimated density of core without ice</t>
        </r>
      </text>
    </comment>
    <comment ref="AB10" authorId="0" shapeId="0" xr:uid="{B91E270E-5604-434C-8022-1EFBE8AEB5AD}">
      <text>
        <r>
          <rPr>
            <b/>
            <sz val="9"/>
            <color indexed="81"/>
            <rFont val="Tahoma"/>
            <family val="2"/>
          </rPr>
          <t>cmcneil:</t>
        </r>
        <r>
          <rPr>
            <sz val="9"/>
            <color indexed="81"/>
            <rFont val="Tahoma"/>
            <family val="2"/>
          </rPr>
          <t xml:space="preserve">
height of observed annual layer from bottom of core section</t>
        </r>
      </text>
    </comment>
    <comment ref="AC10" authorId="0" shapeId="0" xr:uid="{368C40EB-6752-4DA7-B5EA-471FE904DF4A}">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AD10" authorId="0" shapeId="0" xr:uid="{9708FED8-1342-4836-BC00-6A83D7F24A21}">
      <text>
        <r>
          <rPr>
            <b/>
            <sz val="9"/>
            <color indexed="81"/>
            <rFont val="Tahoma"/>
            <family val="2"/>
          </rPr>
          <t>cmcneil:</t>
        </r>
        <r>
          <rPr>
            <sz val="9"/>
            <color indexed="81"/>
            <rFont val="Tahoma"/>
            <family val="2"/>
          </rPr>
          <t xml:space="preserve">
Any observation about a given sample. Cutting dog bites, dirty layers, ice lenses, etc...</t>
        </r>
      </text>
    </comment>
    <comment ref="AE10" authorId="0" shapeId="0" xr:uid="{8363548F-377A-466A-85DC-04A43FA4709E}">
      <text>
        <r>
          <rPr>
            <b/>
            <sz val="9"/>
            <color indexed="81"/>
            <rFont val="Tahoma"/>
            <family val="2"/>
          </rPr>
          <t>cmcneil:</t>
        </r>
        <r>
          <rPr>
            <sz val="9"/>
            <color indexed="81"/>
            <rFont val="Tahoma"/>
            <family val="2"/>
          </rPr>
          <t xml:space="preserve">
What was used to measure snow depth</t>
        </r>
      </text>
    </comment>
    <comment ref="AF10" authorId="0" shapeId="0" xr:uid="{C2FF9366-2CFE-4070-B839-49EE67E84E9F}">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Bollen, Katherine Eleanore</author>
    <author>tc={9E68F2AE-AB3B-4A1D-9BE9-1E9EC58F2986}</author>
    <author>tc={FA1D7952-A948-4F3D-9CC0-D090C3BC4BEF}</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2" authorId="1" shapeId="0" xr:uid="{B6E1D4EE-930D-49EB-BDE9-213E629254BE}">
      <text>
        <r>
          <rPr>
            <b/>
            <sz val="9"/>
            <color indexed="81"/>
            <rFont val="Tahoma"/>
            <family val="2"/>
          </rPr>
          <t>Bollen, Katherine Eleanore:</t>
        </r>
        <r>
          <rPr>
            <sz val="9"/>
            <color indexed="81"/>
            <rFont val="Tahoma"/>
            <family val="2"/>
          </rPr>
          <t xml:space="preserve">
estimated</t>
        </r>
      </text>
    </comment>
    <comment ref="E40" authorId="2" shapeId="0" xr:uid="{9E68F2AE-AB3B-4A1D-9BE9-1E9EC58F2986}">
      <text>
        <t>[Threaded comment]
Your version of Excel allows you to read this threaded comment; however, any edits to it will get removed if the file is opened in a newer version of Excel. Learn more: https://go.microsoft.com/fwlink/?linkid=870924
Comment:
    Removed 6.10m section and was unable to get it back on to coupler in drill hole...</t>
      </text>
    </comment>
    <comment ref="E56" authorId="3" shapeId="0" xr:uid="{FA1D7952-A948-4F3D-9CC0-D090C3BC4BEF}">
      <text>
        <t>[Threaded comment]
Your version of Excel allows you to read this threaded comment; however, any edits to it will get removed if the file is opened in a newer version of Excel. Learn more: https://go.microsoft.com/fwlink/?linkid=870924
Comment:
    Additional wand taped to top section reaches close to 12m total length--~5+m above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tc={C631F6AD-C92B-4EA9-A958-FAE8B8AAD9F0}</author>
    <author>tc={5077E546-3F87-486E-82E4-74B6B4F54646}</author>
    <author>tc={77DD3D06-12DC-4A1D-B3C2-49CE10B3DA51}</author>
    <author>Baker, Emily Hewitt</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G12" authorId="1" shapeId="0" xr:uid="{C631F6AD-C92B-4EA9-A958-FAE8B8AAD9F0}">
      <text>
        <t>[Threaded comment]
Your version of Excel allows you to read this threaded comment; however, any edits to it will get removed if the file is opened in a newer version of Excel. Learn more: https://go.microsoft.com/fwlink/?linkid=870924
Comment:
    stake bent</t>
      </text>
    </comment>
    <comment ref="R13" authorId="2" shapeId="0" xr:uid="{5077E546-3F87-486E-82E4-74B6B4F54646}">
      <text>
        <t>[Threaded comment]
Your version of Excel allows you to read this threaded comment; however, any edits to it will get removed if the file is opened in a newer version of Excel. Learn more: https://go.microsoft.com/fwlink/?linkid=870924
Comment:
    Stake bent several times over the winter, so not a valid measure of winter ablation. Will need to measure in the fall.</t>
      </text>
    </comment>
    <comment ref="G17" authorId="3" shapeId="0" xr:uid="{77DD3D06-12DC-4A1D-B3C2-49CE10B3DA51}">
      <text>
        <t>[Threaded comment]
Your version of Excel allows you to read this threaded comment; however, any edits to it will get removed if the file is opened in a newer version of Excel. Learn more: https://go.microsoft.com/fwlink/?linkid=870924
Comment:
    stake bent</t>
      </text>
    </comment>
    <comment ref="G29" authorId="4" shapeId="0" xr:uid="{20B5DA9B-3FFA-4144-AD1D-0F015FBAB7AC}">
      <text>
        <r>
          <rPr>
            <b/>
            <sz val="9"/>
            <color indexed="81"/>
            <rFont val="Tahoma"/>
            <family val="2"/>
          </rPr>
          <t>Baker, Emily Hewitt:</t>
        </r>
        <r>
          <rPr>
            <sz val="9"/>
            <color indexed="81"/>
            <rFont val="Tahoma"/>
            <family val="2"/>
          </rPr>
          <t xml:space="preserve">
stake bent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tc={EEED9372-521F-480C-B852-3F44D3AD39A6}</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19" authorId="1" shapeId="0" xr:uid="{EEED9372-521F-480C-B852-3F44D3AD39A6}">
      <text>
        <t>[Threaded comment]
Your version of Excel allows you to read this threaded comment; however, any edits to it will get removed if the file is opened in a newer version of Excel. Learn more: https://go.microsoft.com/fwlink/?linkid=870924
Comment:
    Additional wand on top not included in the 13.00m total length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tc={8F2C332E-9F91-45A9-99C1-E19D5BDA90A1}</author>
    <author>lsass</author>
    <author>Sass, Louis</author>
  </authors>
  <commentList>
    <comment ref="A4" authorId="0" shapeId="0" xr:uid="{00000000-0006-0000-0700-000001000000}">
      <text>
        <r>
          <rPr>
            <b/>
            <sz val="9"/>
            <color indexed="81"/>
            <rFont val="Tahoma"/>
            <family val="2"/>
          </rPr>
          <t>cmcneil:</t>
        </r>
        <r>
          <rPr>
            <sz val="9"/>
            <color indexed="81"/>
            <rFont val="Tahoma"/>
            <family val="2"/>
          </rPr>
          <t xml:space="preserve">
Date of site visit</t>
        </r>
      </text>
    </comment>
    <comment ref="B4" authorId="0" shapeId="0" xr:uid="{00000000-0006-0000-07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700-000003000000}">
      <text>
        <r>
          <rPr>
            <b/>
            <sz val="9"/>
            <color indexed="81"/>
            <rFont val="Tahoma"/>
            <family val="2"/>
          </rPr>
          <t>cmcneil:</t>
        </r>
        <r>
          <rPr>
            <sz val="9"/>
            <color indexed="81"/>
            <rFont val="Tahoma"/>
            <family val="2"/>
          </rPr>
          <t xml:space="preserve">
Name of the stake, eg. 17AU</t>
        </r>
      </text>
    </comment>
    <comment ref="D4" authorId="0" shapeId="0" xr:uid="{00000000-0006-0000-07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700-000005000000}">
      <text>
        <r>
          <rPr>
            <b/>
            <sz val="9"/>
            <color indexed="81"/>
            <rFont val="Tahoma"/>
            <family val="2"/>
          </rPr>
          <t>cmcneil:</t>
        </r>
        <r>
          <rPr>
            <sz val="9"/>
            <color indexed="81"/>
            <rFont val="Tahoma"/>
            <family val="2"/>
          </rPr>
          <t xml:space="preserve">
Total length of stake</t>
        </r>
      </text>
    </comment>
    <comment ref="F4" authorId="0" shapeId="0" xr:uid="{00000000-0006-0000-07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7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7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7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7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7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7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7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7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7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7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7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7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7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7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7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7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7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F11" authorId="1" shapeId="0" xr:uid="{5E51861E-2D4C-4FD2-A3A9-D854B383B503}">
      <text>
        <r>
          <rPr>
            <b/>
            <sz val="9"/>
            <color indexed="81"/>
            <rFont val="Tahoma"/>
            <family val="2"/>
          </rPr>
          <t>Baker, Emily Hewitt:</t>
        </r>
        <r>
          <rPr>
            <sz val="9"/>
            <color indexed="81"/>
            <rFont val="Tahoma"/>
            <family val="2"/>
          </rPr>
          <t xml:space="preserve">
Upon arrival
</t>
        </r>
      </text>
    </comment>
    <comment ref="F12" authorId="1" shapeId="0" xr:uid="{7A0EB1A6-C8DA-40BA-952E-E7436914C3E1}">
      <text>
        <r>
          <rPr>
            <b/>
            <sz val="9"/>
            <color indexed="81"/>
            <rFont val="Tahoma"/>
            <family val="2"/>
          </rPr>
          <t>Baker, Emily Hewitt:</t>
        </r>
        <r>
          <rPr>
            <sz val="9"/>
            <color indexed="81"/>
            <rFont val="Tahoma"/>
            <family val="2"/>
          </rPr>
          <t xml:space="preserve">
After straightening
</t>
        </r>
      </text>
    </comment>
    <comment ref="F13" authorId="1" shapeId="0" xr:uid="{6EC1AA01-FBCD-4C6B-B1E3-D07DDA48F4C0}">
      <text>
        <r>
          <rPr>
            <b/>
            <sz val="9"/>
            <color indexed="81"/>
            <rFont val="Tahoma"/>
            <family val="2"/>
          </rPr>
          <t>Baker, Emily Hewitt:</t>
        </r>
        <r>
          <rPr>
            <sz val="9"/>
            <color indexed="81"/>
            <rFont val="Tahoma"/>
            <family val="2"/>
          </rPr>
          <t xml:space="preserve">
Upon Departure; has additional orange wand</t>
        </r>
      </text>
    </comment>
    <comment ref="I14" authorId="2" shapeId="0" xr:uid="{8F2C332E-9F91-45A9-99C1-E19D5BDA90A1}">
      <text>
        <t>[Threaded comment]
Your version of Excel allows you to read this threaded comment; however, any edits to it will get removed if the file is opened in a newer version of Excel. Learn more: https://go.microsoft.com/fwlink/?linkid=870924
Comment:
    Stake is slightly upstream of index site in a region of incrreasing snow thickness</t>
      </text>
    </comment>
    <comment ref="J14" authorId="3" shapeId="0" xr:uid="{07E73A74-8D39-4B3D-BB1B-A824A60DDC27}">
      <text>
        <r>
          <rPr>
            <b/>
            <sz val="9"/>
            <color indexed="81"/>
            <rFont val="Tahoma"/>
            <family val="2"/>
          </rPr>
          <t>lsass:</t>
        </r>
        <r>
          <rPr>
            <sz val="9"/>
            <color indexed="81"/>
            <rFont val="Tahoma"/>
            <family val="2"/>
          </rPr>
          <t xml:space="preserve">
downstream of stake, snow thickness increases significantly as you go upglacier
</t>
        </r>
      </text>
    </comment>
    <comment ref="K69" authorId="4" shapeId="0" xr:uid="{046618A4-4AAC-4AD7-AF0E-F74570CBF30A}">
      <text>
        <r>
          <rPr>
            <b/>
            <sz val="9"/>
            <color indexed="81"/>
            <rFont val="Tahoma"/>
            <family val="2"/>
          </rPr>
          <t>Sass, Louis:</t>
        </r>
        <r>
          <rPr>
            <sz val="9"/>
            <color indexed="81"/>
            <rFont val="Tahoma"/>
            <family val="2"/>
          </rPr>
          <t xml:space="preserve">
average of TU and C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5CEDD8F1-7700-4E85-9DBD-30B35B34DE39}">
      <text>
        <r>
          <rPr>
            <b/>
            <sz val="9"/>
            <color indexed="81"/>
            <rFont val="Tahoma"/>
            <family val="2"/>
          </rPr>
          <t>cmcneil:</t>
        </r>
        <r>
          <rPr>
            <sz val="9"/>
            <color indexed="81"/>
            <rFont val="Tahoma"/>
            <family val="2"/>
          </rPr>
          <t xml:space="preserve">
Date of site visit</t>
        </r>
      </text>
    </comment>
    <comment ref="B4" authorId="0" shapeId="0" xr:uid="{7A525E5F-C2A8-4EE3-AFA6-A4F9D7A303DA}">
      <text>
        <r>
          <rPr>
            <b/>
            <sz val="9"/>
            <color indexed="81"/>
            <rFont val="Tahoma"/>
            <family val="2"/>
          </rPr>
          <t>cmcneil:</t>
        </r>
        <r>
          <rPr>
            <sz val="9"/>
            <color indexed="81"/>
            <rFont val="Tahoma"/>
            <family val="2"/>
          </rPr>
          <t xml:space="preserve">
Notebook field data can be found in</t>
        </r>
      </text>
    </comment>
    <comment ref="C4" authorId="0" shapeId="0" xr:uid="{9580DA2A-3C1D-4708-BB34-2DF00FD04744}">
      <text>
        <r>
          <rPr>
            <b/>
            <sz val="9"/>
            <color indexed="81"/>
            <rFont val="Tahoma"/>
            <family val="2"/>
          </rPr>
          <t>cmcneil:</t>
        </r>
        <r>
          <rPr>
            <sz val="9"/>
            <color indexed="81"/>
            <rFont val="Tahoma"/>
            <family val="2"/>
          </rPr>
          <t xml:space="preserve">
Name of the stake, eg. 17AU</t>
        </r>
      </text>
    </comment>
    <comment ref="D4" authorId="0" shapeId="0" xr:uid="{0098EC44-770C-4FEC-A302-525745B5968C}">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D1111F9-6C1B-4E42-8F92-E3395ED4CEE7}">
      <text>
        <r>
          <rPr>
            <b/>
            <sz val="9"/>
            <color indexed="81"/>
            <rFont val="Tahoma"/>
            <family val="2"/>
          </rPr>
          <t>cmcneil:</t>
        </r>
        <r>
          <rPr>
            <sz val="9"/>
            <color indexed="81"/>
            <rFont val="Tahoma"/>
            <family val="2"/>
          </rPr>
          <t xml:space="preserve">
Total length of stake</t>
        </r>
      </text>
    </comment>
    <comment ref="F4" authorId="0" shapeId="0" xr:uid="{F85FD7C8-6CDD-4C0B-9B7C-8DC44979991B}">
      <text>
        <r>
          <rPr>
            <b/>
            <sz val="9"/>
            <color indexed="81"/>
            <rFont val="Tahoma"/>
            <family val="2"/>
          </rPr>
          <t>cmcneil:</t>
        </r>
        <r>
          <rPr>
            <sz val="9"/>
            <color indexed="81"/>
            <rFont val="Tahoma"/>
            <family val="2"/>
          </rPr>
          <t xml:space="preserve">
Length of stake above the surface noted in column D</t>
        </r>
      </text>
    </comment>
    <comment ref="G4" authorId="0" shapeId="0" xr:uid="{71F9F043-BF32-4E9D-9907-7C135DD5EBF2}">
      <text>
        <r>
          <rPr>
            <b/>
            <sz val="9"/>
            <color indexed="81"/>
            <rFont val="Tahoma"/>
            <family val="2"/>
          </rPr>
          <t>cmcneil:</t>
        </r>
        <r>
          <rPr>
            <sz val="9"/>
            <color indexed="81"/>
            <rFont val="Tahoma"/>
            <family val="2"/>
          </rPr>
          <t xml:space="preserve">
Length of stake still below the surface noted in column D</t>
        </r>
      </text>
    </comment>
    <comment ref="H4" authorId="0" shapeId="0" xr:uid="{4C5A4FBC-7A99-445C-BE1F-5BD689DCBF2C}">
      <text>
        <r>
          <rPr>
            <b/>
            <sz val="9"/>
            <color indexed="81"/>
            <rFont val="Tahoma"/>
            <family val="2"/>
          </rPr>
          <t>cmcneil:</t>
        </r>
        <r>
          <rPr>
            <sz val="9"/>
            <color indexed="81"/>
            <rFont val="Tahoma"/>
            <family val="2"/>
          </rPr>
          <t xml:space="preserve">
Change in stake since previous site visits</t>
        </r>
      </text>
    </comment>
    <comment ref="I4" authorId="0" shapeId="0" xr:uid="{B5D91CE1-C7BE-461C-9E1C-22C3CDB99E32}">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80B0B776-B5EF-4D83-9D33-FA0EE921AC6B}">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4317D0-F0F0-45B3-84C5-32C52E5F69DA}">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4773EDBF-2219-47D3-B2C1-1973D41E806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294B6D9-B134-4ACC-822D-754C8638174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A017EE88-88D3-4AD1-B361-BC0A71EEFA58}">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DFB0404B-5E80-41D3-A971-22F9FF96CFA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9F095C0C-7EC5-473A-B993-5CFA4012B90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C7BD8DD1-3D5A-4D2E-90AB-17A239267E8D}">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4734EE93-2319-45C8-A9AC-384946A1DD6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FED44ADD-2B14-4F96-BF25-4E9A645D9B3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8AB20CC0-3E8E-4E07-B4FB-1A487B95669A}">
      <text>
        <r>
          <rPr>
            <b/>
            <sz val="9"/>
            <color indexed="81"/>
            <rFont val="Tahoma"/>
            <family val="2"/>
          </rPr>
          <t>cmcneil:</t>
        </r>
        <r>
          <rPr>
            <sz val="9"/>
            <color indexed="81"/>
            <rFont val="Tahoma"/>
            <family val="2"/>
          </rPr>
          <t xml:space="preserve">
UTM easting of stake measured with GPS</t>
        </r>
      </text>
    </comment>
    <comment ref="U4" authorId="0" shapeId="0" xr:uid="{79A06154-D155-470E-BD5B-37222784D9C2}">
      <text>
        <r>
          <rPr>
            <b/>
            <sz val="9"/>
            <color indexed="81"/>
            <rFont val="Tahoma"/>
            <family val="2"/>
          </rPr>
          <t>cmcneil:</t>
        </r>
        <r>
          <rPr>
            <sz val="9"/>
            <color indexed="81"/>
            <rFont val="Tahoma"/>
            <family val="2"/>
          </rPr>
          <t xml:space="preserve">
UTM Northing of stake measured with GPS</t>
        </r>
      </text>
    </comment>
    <comment ref="V4" authorId="0" shapeId="0" xr:uid="{63322134-503E-44D2-B4DC-E4145016B1B2}">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EE144189-C961-42D7-AB35-E7FBC56ED312}">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E89A55B2-4CC5-4A79-99A9-FF7CD4F1B9C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2BF49B26-DA32-4CA2-95FE-42F7353C368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3BAB60A-178E-4EDF-BE2E-B224FEC1037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185083B-61B2-4F4A-877F-071F699FBDBC}">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AEEBA77-DCA1-41A9-A503-297E8683CBF9}">
      <text>
        <r>
          <rPr>
            <sz val="8"/>
            <color indexed="81"/>
            <rFont val="Tahoma"/>
            <family val="2"/>
          </rPr>
          <t xml:space="preserve">Sipre coring auger=45.6cm2 
large tube 41.05 cm2       
small tube 25.6   cm2          
Snow Metrics 1000 cm^3
</t>
        </r>
      </text>
    </comment>
    <comment ref="A10" authorId="0" shapeId="0" xr:uid="{6231BC4B-B6BE-4ED6-8459-9766D43E03B8}">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665B8D1B-FF57-4D7B-8553-9FCF9DA8D3E1}">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4C0E8A4-F6AA-4033-8CA8-9A830738C02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20CDF8E5-8C5C-434F-987C-E4DBB2E785A2}">
      <text>
        <r>
          <rPr>
            <b/>
            <sz val="9"/>
            <color indexed="81"/>
            <rFont val="Tahoma"/>
            <family val="2"/>
          </rPr>
          <t>cmcneil:</t>
        </r>
        <r>
          <rPr>
            <sz val="9"/>
            <color indexed="81"/>
            <rFont val="Tahoma"/>
            <family val="2"/>
          </rPr>
          <t xml:space="preserve">
Volume of sample taken</t>
        </r>
      </text>
    </comment>
    <comment ref="E10" authorId="0" shapeId="0" xr:uid="{75B1B2B2-95EC-49BF-968C-22B8DA7F78E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43A2476A-6725-4384-ABE0-BB7B927159C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878B916-2B5E-4B46-8791-DA6702A0EDD9}">
      <text>
        <r>
          <rPr>
            <b/>
            <sz val="9"/>
            <color indexed="81"/>
            <rFont val="Tahoma"/>
            <family val="2"/>
          </rPr>
          <t>cmcneil:</t>
        </r>
        <r>
          <rPr>
            <sz val="9"/>
            <color indexed="81"/>
            <rFont val="Tahoma"/>
            <family val="2"/>
          </rPr>
          <t xml:space="preserve">
Density of sample. Calculated from the mass/volume</t>
        </r>
      </text>
    </comment>
    <comment ref="H10" authorId="0" shapeId="0" xr:uid="{609939BD-5D89-4AE1-AC9B-5C22C6E2CEB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48637B49-AF89-43DB-8581-B7C6F8051885}">
      <text>
        <r>
          <rPr>
            <b/>
            <sz val="9"/>
            <color indexed="81"/>
            <rFont val="Tahoma"/>
            <family val="2"/>
          </rPr>
          <t>cmcneil:</t>
        </r>
        <r>
          <rPr>
            <sz val="9"/>
            <color indexed="81"/>
            <rFont val="Tahoma"/>
            <family val="2"/>
          </rPr>
          <t xml:space="preserve">
Cummulative s.w.e. of from surface to the depth of each sample</t>
        </r>
      </text>
    </comment>
    <comment ref="J10" authorId="0" shapeId="0" xr:uid="{BD1E9560-125F-4DC1-9B2C-9F2844A4D2D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B3D8A17D-4E11-4C50-9750-497A3F602BBD}">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42FABF94-EB0B-49FE-BAD1-7A090F53D313}">
      <text>
        <r>
          <rPr>
            <b/>
            <sz val="9"/>
            <color indexed="81"/>
            <rFont val="Tahoma"/>
            <family val="2"/>
          </rPr>
          <t>cmcneil:</t>
        </r>
        <r>
          <rPr>
            <sz val="9"/>
            <color indexed="81"/>
            <rFont val="Tahoma"/>
            <family val="2"/>
          </rPr>
          <t xml:space="preserve">
What was used to measure snow depth</t>
        </r>
      </text>
    </comment>
    <comment ref="M10" authorId="0" shapeId="0" xr:uid="{737C74F4-2440-4E2E-8B4A-8AE367C418EB}">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<sst xmlns="http://schemas.openxmlformats.org/spreadsheetml/2006/main" count="2479" uniqueCount="277">
  <si>
    <t>Input table for GUI</t>
  </si>
  <si>
    <t>Site</t>
  </si>
  <si>
    <t>Elevation</t>
  </si>
  <si>
    <t>Spring Date</t>
  </si>
  <si>
    <t>Fall Date</t>
  </si>
  <si>
    <t>bw</t>
  </si>
  <si>
    <t>ba</t>
  </si>
  <si>
    <t>Winter Ablation</t>
  </si>
  <si>
    <t>Summer Accumulation</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</si>
  <si>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</si>
  <si>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</si>
  <si>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</si>
  <si>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</si>
  <si>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</si>
  <si>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</si>
  <si>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</si>
  <si>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</si>
  <si>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</si>
  <si>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</si>
  <si>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</si>
  <si>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</si>
  <si>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</si>
  <si>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</si>
  <si>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</si>
  <si>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</si>
  <si>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</si>
  <si>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</si>
  <si>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</si>
  <si>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</si>
  <si>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</si>
  <si>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</si>
  <si>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</si>
  <si>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</si>
  <si>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</si>
  <si>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</si>
  <si>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</si>
  <si>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</si>
  <si>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</si>
  <si>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</si>
  <si>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</si>
  <si>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</si>
  <si>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</si>
  <si>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</si>
  <si>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</si>
  <si>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</si>
  <si>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</si>
  <si>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</si>
  <si>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</si>
  <si>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</si>
  <si>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</si>
  <si>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</si>
  <si>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C</t>
  </si>
  <si>
    <t>snow</t>
  </si>
  <si>
    <t>ice</t>
  </si>
  <si>
    <t>NaN</t>
  </si>
  <si>
    <t>N</t>
  </si>
  <si>
    <t>B</t>
  </si>
  <si>
    <t>S</t>
  </si>
  <si>
    <t>Y</t>
  </si>
  <si>
    <t>old snow</t>
  </si>
  <si>
    <t>EC</t>
  </si>
  <si>
    <t>not found</t>
  </si>
  <si>
    <t>20CM</t>
  </si>
  <si>
    <t>20LS</t>
  </si>
  <si>
    <t>TU</t>
  </si>
  <si>
    <t>Not Found</t>
  </si>
  <si>
    <t>20EHB</t>
  </si>
  <si>
    <t>20Y</t>
  </si>
  <si>
    <t>Snow</t>
  </si>
  <si>
    <t>20S</t>
  </si>
  <si>
    <t>Year</t>
  </si>
  <si>
    <t>1.5m wand</t>
  </si>
  <si>
    <t>firn</t>
  </si>
  <si>
    <t>21EHB</t>
  </si>
  <si>
    <t>10 degree lean to west</t>
  </si>
  <si>
    <t>21LS</t>
  </si>
  <si>
    <t>21C</t>
  </si>
  <si>
    <t>21Y</t>
  </si>
  <si>
    <t>21S</t>
  </si>
  <si>
    <t>21KB</t>
  </si>
  <si>
    <t>from gps</t>
  </si>
  <si>
    <t>22CM</t>
  </si>
  <si>
    <t>22EBH</t>
  </si>
  <si>
    <t>22B</t>
  </si>
  <si>
    <t>22S</t>
  </si>
  <si>
    <t>22C</t>
  </si>
  <si>
    <t>22Y</t>
  </si>
  <si>
    <t>22EC</t>
  </si>
  <si>
    <t>22LS</t>
  </si>
  <si>
    <t>new snow</t>
  </si>
  <si>
    <t>22EHB</t>
  </si>
  <si>
    <t>23EHB</t>
  </si>
  <si>
    <t>23TU</t>
  </si>
  <si>
    <t>23CM</t>
  </si>
  <si>
    <t>23Y</t>
  </si>
  <si>
    <t>23EC</t>
  </si>
  <si>
    <t>23S</t>
  </si>
  <si>
    <t>23B</t>
  </si>
  <si>
    <t>23N</t>
  </si>
  <si>
    <t>23LS</t>
  </si>
  <si>
    <t>23C</t>
  </si>
  <si>
    <t>AUU</t>
  </si>
  <si>
    <t>23EB</t>
  </si>
  <si>
    <t>24KB</t>
  </si>
  <si>
    <t xml:space="preserve"> Glacier:</t>
  </si>
  <si>
    <t>Total Core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</si>
  <si>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</si>
  <si>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</si>
  <si>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</si>
  <si>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</si>
  <si>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</si>
  <si>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</si>
  <si>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</si>
  <si>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</si>
  <si>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</si>
  <si>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</si>
  <si>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</si>
  <si>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</si>
  <si>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</si>
  <si>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Core Lengths</t>
  </si>
  <si>
    <t>Core Diameters</t>
  </si>
  <si>
    <t>Layer Boundary</t>
  </si>
  <si>
    <t>C+S</t>
  </si>
  <si>
    <t>SBD</t>
  </si>
  <si>
    <t>Length 1</t>
  </si>
  <si>
    <t>Length 2</t>
  </si>
  <si>
    <t>Length 3</t>
  </si>
  <si>
    <t>Average Length</t>
  </si>
  <si>
    <t>Diameter 1</t>
  </si>
  <si>
    <t>Diameter 2</t>
  </si>
  <si>
    <t>Diameter 3</t>
  </si>
  <si>
    <t>Diameter 4</t>
  </si>
  <si>
    <t>Average Diameter</t>
  </si>
  <si>
    <t>Volume</t>
  </si>
  <si>
    <t>Top</t>
  </si>
  <si>
    <t>Bottom</t>
  </si>
  <si>
    <t>Density</t>
  </si>
  <si>
    <t>SWE</t>
  </si>
  <si>
    <t xml:space="preserve"> Comments</t>
  </si>
  <si>
    <t>Type of meaasurement</t>
  </si>
  <si>
    <t>Snow Depth</t>
  </si>
  <si>
    <t>gm</t>
  </si>
  <si>
    <t>cm</t>
  </si>
  <si>
    <t>(cm)</t>
  </si>
  <si>
    <r>
      <t>cm</t>
    </r>
    <r>
      <rPr>
        <vertAlign val="superscript"/>
        <sz val="8"/>
        <rFont val="Arial"/>
        <family val="2"/>
      </rPr>
      <t>3</t>
    </r>
  </si>
  <si>
    <r>
      <t>gm/cm</t>
    </r>
    <r>
      <rPr>
        <vertAlign val="superscript"/>
        <sz val="8"/>
        <rFont val="Arial"/>
        <family val="2"/>
      </rPr>
      <t>3</t>
    </r>
  </si>
  <si>
    <t>m w.e.</t>
  </si>
  <si>
    <r>
      <t>(g/cm</t>
    </r>
    <r>
      <rPr>
        <vertAlign val="superscript"/>
        <sz val="8"/>
        <rFont val="Arial"/>
        <family val="2"/>
      </rPr>
      <t>3)</t>
    </r>
  </si>
  <si>
    <t>Pit Data</t>
  </si>
  <si>
    <t>—</t>
  </si>
  <si>
    <t>Probe</t>
  </si>
  <si>
    <t xml:space="preserve"> </t>
  </si>
  <si>
    <t>Core Data</t>
  </si>
  <si>
    <t>Average =</t>
  </si>
  <si>
    <t>Stdev. =</t>
  </si>
  <si>
    <t>Only insert/delete rows from within the table above. This maintains the functionality of the spreadsheet</t>
  </si>
  <si>
    <t>Std.Err.Mean =</t>
  </si>
  <si>
    <t>Maximum =</t>
  </si>
  <si>
    <t>Minimum =</t>
  </si>
  <si>
    <t>Wolverine</t>
  </si>
  <si>
    <t>Site C</t>
  </si>
  <si>
    <t>core</t>
  </si>
  <si>
    <t>24Y</t>
  </si>
  <si>
    <t>24TU</t>
  </si>
  <si>
    <t>Ice Lenses</t>
  </si>
  <si>
    <t>Annual Layers</t>
  </si>
  <si>
    <t>Height from SBD</t>
  </si>
  <si>
    <t>Ice volume</t>
  </si>
  <si>
    <t>Density w/o ice</t>
  </si>
  <si>
    <t>Depth</t>
  </si>
  <si>
    <r>
      <t>(cm</t>
    </r>
    <r>
      <rPr>
        <vertAlign val="superscript"/>
        <sz val="8"/>
        <color theme="1"/>
        <rFont val="Arial"/>
        <family val="2"/>
      </rPr>
      <t>3</t>
    </r>
    <r>
      <rPr>
        <sz val="8"/>
        <color theme="1"/>
        <rFont val="Arial"/>
        <family val="2"/>
      </rPr>
      <t>)</t>
    </r>
  </si>
  <si>
    <r>
      <t>(cm</t>
    </r>
    <r>
      <rPr>
        <vertAlign val="superscript"/>
        <sz val="8"/>
        <rFont val="Arial"/>
        <family val="2"/>
      </rPr>
      <t>3</t>
    </r>
    <r>
      <rPr>
        <sz val="8"/>
        <rFont val="Arial"/>
        <family val="2"/>
      </rPr>
      <t>)</t>
    </r>
  </si>
  <si>
    <r>
      <t>(g/cm</t>
    </r>
    <r>
      <rPr>
        <vertAlign val="superscript"/>
        <sz val="8"/>
        <rFont val="Arial"/>
        <family val="2"/>
      </rPr>
      <t>3</t>
    </r>
    <r>
      <rPr>
        <sz val="8"/>
        <rFont val="Arial"/>
        <family val="2"/>
      </rPr>
      <t>)</t>
    </r>
  </si>
  <si>
    <t>Site EC</t>
  </si>
  <si>
    <t>Height from SBD 1</t>
  </si>
  <si>
    <t>Thickness 1</t>
  </si>
  <si>
    <t>Height from SBD 2</t>
  </si>
  <si>
    <t>Thickness 2</t>
  </si>
  <si>
    <t>Height from SBD 3</t>
  </si>
  <si>
    <t>Thickness 3</t>
  </si>
  <si>
    <t>Total snowpit depth(cm):</t>
  </si>
  <si>
    <t>Depth of previous years' summer surface (cm):</t>
  </si>
  <si>
    <t>Average snow Depth (m):</t>
  </si>
  <si>
    <t>Column average density (g/cm^3):</t>
  </si>
  <si>
    <t>Pit</t>
  </si>
  <si>
    <t>Site B</t>
  </si>
  <si>
    <t>24CM</t>
  </si>
  <si>
    <t>24B</t>
  </si>
  <si>
    <t>24N</t>
  </si>
  <si>
    <t>24S</t>
  </si>
  <si>
    <t>24C</t>
  </si>
  <si>
    <t>Site Y</t>
  </si>
  <si>
    <t>Site TU</t>
  </si>
  <si>
    <t>24AUU</t>
  </si>
  <si>
    <t>24EB</t>
  </si>
  <si>
    <t>24EC</t>
  </si>
  <si>
    <t>firn (2024)</t>
  </si>
  <si>
    <t>not measured</t>
  </si>
  <si>
    <t>bent at extreme (~70* angle)</t>
  </si>
  <si>
    <t>using average density from TU and C</t>
  </si>
  <si>
    <t>25CM</t>
  </si>
  <si>
    <t>Stake was bent ~ 30* down glacier when found</t>
  </si>
  <si>
    <t>Dug down ~1.5 meters and straightened before extending. Added a additional ~1m of wand above the 15.50m section.</t>
  </si>
  <si>
    <t>Added ~1m wand aboce 13.5m section</t>
  </si>
  <si>
    <t>25cm</t>
  </si>
  <si>
    <t>24n</t>
  </si>
  <si>
    <t>field trip</t>
  </si>
  <si>
    <t>CJM</t>
  </si>
  <si>
    <t>data entry</t>
  </si>
  <si>
    <t>entry check</t>
  </si>
  <si>
    <t>ZAF</t>
  </si>
  <si>
    <t>notes uploaded</t>
  </si>
  <si>
    <t>winter stake extension,  Didn't find Y,EC or S, but we did find C, TU, B, and N. Ended the day by swinging by wx990 to clean off the snow/ice on the solar panels</t>
  </si>
  <si>
    <t>Personnel</t>
  </si>
  <si>
    <t>Version</t>
  </si>
  <si>
    <t>Task</t>
  </si>
  <si>
    <t>Compared field note scans with data entered in the individual stake sheets.  Found ambiguity for site N:  the field notes don't specify additional stake length added, the found above reads as 2.33m in the notes.
If the stake sheet is correct and 2m was added, consider adding a note about it in the comments field for future reviewers.</t>
  </si>
  <si>
    <t>revision</t>
  </si>
  <si>
    <t xml:space="preserve">Found a typo regarding winter stake extension trip in January, where the found length about was entered as 0.33m, but fieldnotes read 2.33m. Providing further support this is clearly a simple data entry issue, the 2.33m measurement provides a snow depth compareable with B and similar to the historical difference between the two sites. </t>
  </si>
  <si>
    <t>25LS</t>
  </si>
  <si>
    <t>25ZF</t>
  </si>
  <si>
    <t>25AUU</t>
  </si>
  <si>
    <t>Site AUU</t>
  </si>
  <si>
    <t>Probe 24AUU</t>
  </si>
  <si>
    <t>Probe 25AUU</t>
  </si>
  <si>
    <t>ice @295cm</t>
  </si>
  <si>
    <t>25N</t>
  </si>
  <si>
    <t>probe 1m north 24N</t>
  </si>
  <si>
    <t>probe 1m west 24N</t>
  </si>
  <si>
    <t>probe 1m south 24N</t>
  </si>
  <si>
    <t>probe 1m east 24N</t>
  </si>
  <si>
    <t>probe 1m north 25S</t>
  </si>
  <si>
    <t>probe 1m west 25S</t>
  </si>
  <si>
    <t>probe 1m south 25S</t>
  </si>
  <si>
    <t>probe 1m east 25S</t>
  </si>
  <si>
    <t>Probe 25B N</t>
  </si>
  <si>
    <t>Probe 25B W</t>
  </si>
  <si>
    <t>Probe 25B S</t>
  </si>
  <si>
    <t>Probe 25B E</t>
  </si>
  <si>
    <t>ice @ 526cm</t>
  </si>
  <si>
    <t>probe index07</t>
  </si>
  <si>
    <t>probe index08</t>
  </si>
  <si>
    <t>25B</t>
  </si>
  <si>
    <t>Site S</t>
  </si>
  <si>
    <t>2024 ss @ 868cm transistion to course very hard grains</t>
  </si>
  <si>
    <t>25S</t>
  </si>
  <si>
    <t>62cm sbd base of storm snow layer defined by sun crust</t>
  </si>
  <si>
    <t>Transistion from fine to corser grained seasonal snow @ 791cm; Tansistion from soft corser grained snow to hard firn at 800cm</t>
  </si>
  <si>
    <t xml:space="preserve">snow </t>
  </si>
  <si>
    <t>25C</t>
  </si>
  <si>
    <t>25TU</t>
  </si>
  <si>
    <t>suncrust marking btm of storm snow @ 56cm</t>
  </si>
  <si>
    <t>crusty melt layer @555cm</t>
  </si>
  <si>
    <t>homogenous 1mm grains</t>
  </si>
  <si>
    <t xml:space="preserve"> at top; large grains beleow</t>
  </si>
  <si>
    <t>transistion from 1mm dryer snow at 946cm; soarser non-planer layer at 962cm 2mm; natural break at 965cm</t>
  </si>
  <si>
    <t>natural break at 951cm</t>
  </si>
  <si>
    <t>25Y</t>
  </si>
  <si>
    <t>25EC</t>
  </si>
  <si>
    <t>suncrust marking btm of storm snow at 67cm</t>
  </si>
  <si>
    <t>transistion from fine grained snow to corser grains at 922cm;planer ice layer w/ 2mm grains above at 933.5cm</t>
  </si>
  <si>
    <t>CM</t>
  </si>
  <si>
    <t>entered data from spring mass balance trip.</t>
  </si>
  <si>
    <t>probe index09</t>
  </si>
  <si>
    <t>quality checking</t>
  </si>
  <si>
    <t>GNSS additions</t>
  </si>
  <si>
    <t>processed GPS data in TBC and copied over easting/northing/elevation</t>
  </si>
  <si>
    <t>N: removed AUU plot points from from N probes sheet; B: added probe index09 for site; S: pit core plot was from B, corrected to plot S data, corrected length entry for bottom core section (was 51.5, corrected to 21.5 per notebook), confirm column average density is correct; C: correct mass on second core length from 740 to 710 per interpretation of notes, fixed column "I" total core depth and depth of summer values reversed.</t>
  </si>
  <si>
    <t>continued QA</t>
  </si>
  <si>
    <t>EC: changed total core depth to deepest SBD,  extended plot to full depth of core, Core SBD 1805 IL up 28 changed to up 27.0 and 1cm thick changed to 0.5 cm thick per notes. A fourth layer (up 30, 5mm is listed in notes but not in core sheet). Core SBD 2024, IL#2 changed from up 51 to up 55cm per notes</t>
  </si>
  <si>
    <t>snow depth measurements</t>
  </si>
  <si>
    <t>Type of Measurement</t>
  </si>
  <si>
    <t>snowpit SWE:</t>
  </si>
  <si>
    <t>QAQC</t>
  </si>
  <si>
    <t>LS</t>
  </si>
  <si>
    <t xml:space="preserve">AUU, and other stakes: Changed bw calcs to bw column (were in bs). Changed references therein. Changed stake bw to reflect stake calculations where possible. Changed summary boxes to be the average of bw at each stake and at index site (i.e. at pit). </t>
  </si>
  <si>
    <t>Removed stake snow depth values that were actually index site snow depths on all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</si>
</sst>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
    <numFmt numFmtId="166" formatCode="0.000"/>
    <numFmt numFmtId="167" formatCode="??0"/>
    <numFmt numFmtId="168" formatCode="0.0"/>
    <numFmt numFmtId="169" formatCode="??0.0"/>
  </numFmts>
  <fonts count="48" x14ac:knownFonts="1">
    <font>
      <sz val="11"/>
      <color theme="1"/>
      <name val="Calibri"/>
      <family val="2"/>
      <scheme val="minor"/>
    </font>
    <font>
      <sz val="11"/>
      <color theme="1"/>
      <name val="Calibri"/>
      <family val="2"/>
      <scheme val="minor"/>
    </font>
    <font>
      <b/>
      <sz val="10"/>
      <name val="Arial"/>
      <family val="2"/>
    </font>
    <font>
      <b/>
      <sz val="10"/>
      <color rgb="FF00FFFF"/>
      <name val="Arial"/>
      <family val="2"/>
    </font>
    <font>
      <b/>
      <sz val="10"/>
      <color rgb="FF000000"/>
      <name val="Arial"/>
      <family val="2"/>
    </font>
    <font>
      <sz val="10"/>
      <color rgb="FF000000"/>
      <name val="Arial"/>
      <family val="2"/>
    </font>
    <font>
      <b/>
      <u/>
      <sz val="10"/>
      <color rgb="FF000000"/>
      <name val="Arial"/>
      <family val="2"/>
    </font>
    <font>
      <b/>
      <sz val="10"/>
      <color theme="1"/>
      <name val="Arial"/>
      <family val="2"/>
    </font>
    <font>
      <b/>
      <u/>
      <sz val="10"/>
      <name val="Arial"/>
      <family val="2"/>
    </font>
    <font>
      <b/>
      <vertAlign val="subscript"/>
      <sz val="10"/>
      <color rgb="FF000000"/>
      <name val="Arial"/>
      <family val="2"/>
    </font>
    <font>
      <sz val="10"/>
      <color theme="1"/>
      <name val="Arial"/>
      <family val="2"/>
    </font>
    <font>
      <sz val="10"/>
      <name val="Arial"/>
      <family val="2"/>
    </font>
    <font>
      <sz val="10"/>
      <color rgb="FF000000"/>
      <name val="Calibri"/>
      <family val="2"/>
    </font>
    <font>
      <b/>
      <u/>
      <sz val="18"/>
      <color rgb="FF000000"/>
      <name val="Calibri"/>
      <family val="2"/>
    </font>
    <font>
      <b/>
      <sz val="10"/>
      <color rgb="FF000000"/>
      <name val="Calibri"/>
      <family val="2"/>
    </font>
    <font>
      <sz val="10"/>
      <color theme="1"/>
      <name val="Calibri"/>
      <family val="2"/>
      <scheme val="minor"/>
    </font>
    <font>
      <b/>
      <sz val="9"/>
      <color indexed="81"/>
      <name val="Tahoma"/>
      <family val="2"/>
    </font>
    <font>
      <sz val="9"/>
      <color indexed="81"/>
      <name val="Tahoma"/>
      <family val="2"/>
    </font>
    <font>
      <b/>
      <sz val="8"/>
      <name val="Arial"/>
      <family val="2"/>
    </font>
    <font>
      <sz val="8"/>
      <name val="Arial"/>
      <family val="2"/>
    </font>
    <font>
      <sz val="8"/>
      <color indexed="12"/>
      <name val="Arial"/>
      <family val="2"/>
    </font>
    <font>
      <sz val="8"/>
      <name val="Helv"/>
    </font>
    <font>
      <sz val="8"/>
      <color indexed="8"/>
      <name val="Arial"/>
      <family val="2"/>
    </font>
    <font>
      <sz val="10"/>
      <name val="Arial"/>
      <family val="2"/>
    </font>
    <font>
      <sz val="11"/>
      <name val="Calibri"/>
      <family val="2"/>
      <scheme val="minor"/>
    </font>
    <font>
      <b/>
      <sz val="11"/>
      <color theme="1"/>
      <name val="Calibri"/>
      <family val="2"/>
      <scheme val="minor"/>
    </font>
    <font>
      <sz val="10"/>
      <name val="Calibri"/>
      <family val="2"/>
    </font>
    <font>
      <sz val="10"/>
      <color theme="1"/>
      <name val="Segoe UI"/>
      <family val="2"/>
    </font>
    <font>
      <sz val="10"/>
      <color rgb="FF000000"/>
      <name val="Segoe UI"/>
      <family val="2"/>
    </font>
    <font>
      <sz val="10"/>
      <color indexed="12"/>
      <name val="Arial"/>
      <family val="2"/>
    </font>
    <font>
      <sz val="10"/>
      <color rgb="FF0066FF"/>
      <name val="Arial"/>
      <family val="2"/>
    </font>
    <font>
      <b/>
      <u/>
      <sz val="8"/>
      <name val="Arial"/>
      <family val="2"/>
    </font>
    <font>
      <i/>
      <sz val="8"/>
      <name val="Arial"/>
      <family val="2"/>
    </font>
    <font>
      <b/>
      <u/>
      <sz val="8"/>
      <color theme="1"/>
      <name val="Arial"/>
      <family val="2"/>
    </font>
    <font>
      <b/>
      <sz val="8"/>
      <color theme="1"/>
      <name val="Arial"/>
      <family val="2"/>
    </font>
    <font>
      <sz val="8"/>
      <color theme="1"/>
      <name val="Arial"/>
      <family val="2"/>
    </font>
    <font>
      <vertAlign val="superscript"/>
      <sz val="8"/>
      <name val="Arial"/>
      <family val="2"/>
    </font>
    <font>
      <sz val="8"/>
      <name val="Calibri"/>
      <family val="2"/>
    </font>
    <font>
      <sz val="8"/>
      <color indexed="16"/>
      <name val="Arial"/>
      <family val="2"/>
    </font>
    <font>
      <b/>
      <sz val="8"/>
      <color theme="5"/>
      <name val="Arial"/>
      <family val="2"/>
    </font>
    <font>
      <sz val="8"/>
      <color theme="5"/>
      <name val="Arial"/>
      <family val="2"/>
    </font>
    <font>
      <sz val="8"/>
      <color indexed="81"/>
      <name val="Tahoma"/>
      <family val="2"/>
    </font>
    <font>
      <u/>
      <sz val="8"/>
      <color indexed="12"/>
      <name val="Arial"/>
      <family val="2"/>
    </font>
    <font>
      <vertAlign val="superscript"/>
      <sz val="8"/>
      <color theme="1"/>
      <name val="Arial"/>
      <family val="2"/>
    </font>
    <font>
      <b/>
      <sz val="8"/>
      <color indexed="12"/>
      <name val="Arial"/>
      <family val="2"/>
    </font>
    <font>
      <sz val="11"/>
      <color theme="1"/>
      <name val="Segoe UI"/>
      <family val="2"/>
    </font>
    <font>
      <sz val="11"/>
      <color rgb="FF000000"/>
      <name val="Segoe UI"/>
      <family val="2"/>
    </font>
    <font>
      <sz val="11"/>
      <name val="Segoe UI"/>
      <family val="2"/>
    </font>
  </fonts>
  <fills count="16">
    <fill>
      <patternFill patternType="none"/>
    </fill>
    <fill>
      <patternFill patternType="gray125"/>
    </fill>
    <fill>
      <patternFill patternType="solid">
        <fgColor theme="4" tint="0.59999389629810485"/>
        <bgColor indexed="64"/>
      </patternFill>
    </fill>
    <fill>
      <patternFill patternType="solid">
        <fgColor rgb="FFFFFF00"/>
        <bgColor rgb="FFFFFF00"/>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C99FF"/>
        <bgColor indexed="64"/>
      </patternFill>
    </fill>
    <fill>
      <patternFill patternType="solid">
        <fgColor rgb="FFFFCCFF"/>
        <bgColor indexed="64"/>
      </patternFill>
    </fill>
    <fill>
      <patternFill patternType="solid">
        <fgColor rgb="FFFFCCCC"/>
        <bgColor indexed="64"/>
      </patternFill>
    </fill>
    <fill>
      <patternFill patternType="solid">
        <fgColor theme="0" tint="-0.14999847407452621"/>
        <bgColor indexed="64"/>
      </patternFill>
    </fill>
    <fill>
      <patternFill patternType="solid">
        <fgColor theme="6" tint="0.39997558519241921"/>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s>
  <cellStyleXfs count="14">
    <xf numFmtId="0" fontId="0" fillId="0" borderId="0"/>
    <xf numFmtId="0" fontId="18" fillId="0" borderId="0" applyNumberFormat="0" applyFill="0" applyBorder="0" applyAlignment="0" applyProtection="0">
      <alignment horizontal="left"/>
      <protection locked="0"/>
    </xf>
    <xf numFmtId="0" fontId="19" fillId="0" borderId="0" applyNumberFormat="0" applyFill="0" applyBorder="0" applyAlignment="0" applyProtection="0">
      <protection locked="0"/>
    </xf>
    <xf numFmtId="0" fontId="20" fillId="0" borderId="0" applyNumberFormat="0" applyFill="0" applyBorder="0" applyAlignment="0" applyProtection="0">
      <alignment horizontal="left"/>
      <protection locked="0"/>
    </xf>
    <xf numFmtId="166" fontId="21" fillId="0" borderId="0" applyFont="0" applyFill="0" applyBorder="0" applyAlignment="0" applyProtection="0"/>
    <xf numFmtId="0" fontId="19" fillId="0" borderId="0" applyNumberFormat="0" applyFill="0" applyBorder="0" applyAlignment="0" applyProtection="0">
      <alignment horizontal="left" vertical="top" wrapText="1"/>
      <protection locked="0"/>
    </xf>
    <xf numFmtId="0" fontId="19" fillId="0" borderId="0" applyNumberFormat="0" applyFill="0" applyBorder="0" applyAlignment="0" applyProtection="0">
      <alignment horizontal="left" vertical="top" wrapText="1"/>
      <protection locked="0"/>
    </xf>
    <xf numFmtId="0" fontId="1" fillId="0" borderId="0"/>
    <xf numFmtId="167" fontId="21" fillId="0" borderId="0" applyFont="0" applyFill="0" applyBorder="0" applyAlignment="0" applyProtection="0">
      <alignment horizontal="left"/>
      <protection locked="0"/>
    </xf>
    <xf numFmtId="0" fontId="22" fillId="0" borderId="0" applyNumberFormat="0" applyFill="0" applyBorder="0" applyAlignment="0" applyProtection="0">
      <alignment horizontal="center" vertical="top" wrapText="1"/>
      <protection locked="0"/>
    </xf>
    <xf numFmtId="0" fontId="20" fillId="0" borderId="0" applyNumberFormat="0" applyFill="0" applyBorder="0" applyAlignment="0" applyProtection="0">
      <alignment horizontal="center" vertical="top" wrapText="1"/>
    </xf>
    <xf numFmtId="0" fontId="23" fillId="0" borderId="0"/>
    <xf numFmtId="0" fontId="1" fillId="0" borderId="0"/>
    <xf numFmtId="0" fontId="19" fillId="0" borderId="0" applyNumberFormat="0" applyFill="0" applyBorder="0" applyAlignment="0" applyProtection="0">
      <protection locked="0"/>
    </xf>
  </cellStyleXfs>
  <cellXfs count="967">
    <xf numFmtId="0" fontId="0" fillId="0" borderId="0" xfId="0"/>
    <xf numFmtId="0" fontId="0" fillId="0" borderId="4" xfId="0" applyBorder="1"/>
    <xf numFmtId="0" fontId="0" fillId="0" borderId="0" xfId="0" applyBorder="1"/>
    <xf numFmtId="2" fontId="0" fillId="0" borderId="0" xfId="0" applyNumberFormat="1" applyBorder="1"/>
    <xf numFmtId="0" fontId="0" fillId="0" borderId="5" xfId="0" applyBorder="1"/>
    <xf numFmtId="164" fontId="3" fillId="0" borderId="1" xfId="0" applyNumberFormat="1" applyFont="1" applyBorder="1" applyAlignment="1">
      <alignment horizontal="center" vertical="top"/>
    </xf>
    <xf numFmtId="0" fontId="4" fillId="0" borderId="2" xfId="0" applyFont="1" applyBorder="1" applyAlignment="1">
      <alignment horizontal="center" vertical="top"/>
    </xf>
    <xf numFmtId="0" fontId="4"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2" xfId="0" applyFont="1" applyBorder="1" applyAlignment="1">
      <alignment horizontal="center"/>
    </xf>
    <xf numFmtId="4" fontId="4" fillId="0" borderId="2" xfId="0" applyNumberFormat="1" applyFont="1" applyBorder="1" applyAlignment="1">
      <alignment horizontal="center" vertical="top"/>
    </xf>
    <xf numFmtId="4" fontId="4" fillId="0" borderId="12" xfId="0" applyNumberFormat="1" applyFont="1" applyBorder="1" applyAlignment="1">
      <alignment horizontal="center" vertical="top"/>
    </xf>
    <xf numFmtId="4" fontId="6" fillId="0" borderId="2" xfId="0" applyNumberFormat="1" applyFont="1" applyBorder="1" applyAlignment="1">
      <alignment horizontal="center"/>
    </xf>
    <xf numFmtId="0" fontId="0" fillId="0" borderId="13" xfId="0" applyBorder="1"/>
    <xf numFmtId="0" fontId="2" fillId="0" borderId="0" xfId="0" applyFont="1" applyBorder="1" applyAlignment="1">
      <alignment horizontal="center"/>
    </xf>
    <xf numFmtId="4" fontId="4" fillId="0" borderId="1" xfId="0" applyNumberFormat="1" applyFont="1" applyBorder="1" applyAlignment="1">
      <alignment horizontal="center" vertical="top"/>
    </xf>
    <xf numFmtId="4" fontId="5" fillId="0" borderId="2" xfId="0" applyNumberFormat="1" applyFont="1" applyBorder="1" applyAlignment="1">
      <alignment horizontal="center"/>
    </xf>
    <xf numFmtId="4" fontId="4" fillId="0" borderId="3" xfId="0" applyNumberFormat="1" applyFont="1" applyBorder="1" applyAlignment="1">
      <alignment horizontal="center"/>
    </xf>
    <xf numFmtId="0" fontId="5" fillId="0" borderId="9" xfId="0" applyFont="1" applyBorder="1" applyAlignment="1">
      <alignment horizontal="center"/>
    </xf>
    <xf numFmtId="164" fontId="3" fillId="0" borderId="4" xfId="0" applyNumberFormat="1" applyFont="1" applyBorder="1" applyAlignment="1">
      <alignment horizontal="center" vertical="top"/>
    </xf>
    <xf numFmtId="0" fontId="4" fillId="0" borderId="0" xfId="0" applyFont="1" applyBorder="1" applyAlignment="1">
      <alignment horizontal="center" vertical="top"/>
    </xf>
    <xf numFmtId="0" fontId="4" fillId="0" borderId="14" xfId="0" applyFont="1" applyBorder="1" applyAlignment="1">
      <alignment horizontal="center" vertical="top"/>
    </xf>
    <xf numFmtId="0" fontId="5" fillId="0" borderId="15" xfId="0" applyFont="1" applyBorder="1" applyAlignment="1">
      <alignment horizontal="center"/>
    </xf>
    <xf numFmtId="4" fontId="4" fillId="0" borderId="0" xfId="0" applyNumberFormat="1" applyFont="1" applyBorder="1" applyAlignment="1">
      <alignment horizontal="center" vertical="top"/>
    </xf>
    <xf numFmtId="4" fontId="4" fillId="0" borderId="16" xfId="0" applyNumberFormat="1" applyFont="1" applyBorder="1" applyAlignment="1">
      <alignment horizontal="center" vertical="top"/>
    </xf>
    <xf numFmtId="4" fontId="4" fillId="0" borderId="0" xfId="0" applyNumberFormat="1" applyFont="1" applyBorder="1" applyAlignment="1">
      <alignment horizontal="center"/>
    </xf>
    <xf numFmtId="0" fontId="5" fillId="0" borderId="0" xfId="0" applyFont="1" applyBorder="1" applyAlignment="1">
      <alignment horizontal="center"/>
    </xf>
    <xf numFmtId="4" fontId="6" fillId="0" borderId="13" xfId="0" applyNumberFormat="1" applyFont="1" applyBorder="1" applyAlignment="1">
      <alignment horizontal="center" vertical="top"/>
    </xf>
    <xf numFmtId="4" fontId="6" fillId="0" borderId="0" xfId="0" applyNumberFormat="1" applyFont="1" applyBorder="1" applyAlignment="1">
      <alignment horizontal="center" vertical="top"/>
    </xf>
    <xf numFmtId="0" fontId="5"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4" fontId="6" fillId="0" borderId="13" xfId="0" applyNumberFormat="1" applyFont="1" applyBorder="1" applyAlignment="1">
      <alignment horizontal="center"/>
    </xf>
    <xf numFmtId="4" fontId="6" fillId="0" borderId="0" xfId="0" applyNumberFormat="1" applyFont="1" applyBorder="1" applyAlignment="1">
      <alignment horizontal="center"/>
    </xf>
    <xf numFmtId="4" fontId="4" fillId="0" borderId="4" xfId="0" applyNumberFormat="1" applyFont="1" applyBorder="1" applyAlignment="1">
      <alignment horizontal="center"/>
    </xf>
    <xf numFmtId="4" fontId="7" fillId="0" borderId="0" xfId="0" applyNumberFormat="1" applyFont="1" applyBorder="1" applyAlignment="1">
      <alignment horizontal="center"/>
    </xf>
    <xf numFmtId="4" fontId="7" fillId="0" borderId="5" xfId="0" applyNumberFormat="1" applyFont="1" applyBorder="1" applyAlignment="1">
      <alignment horizontal="center"/>
    </xf>
    <xf numFmtId="0" fontId="4" fillId="0" borderId="14" xfId="0" applyFont="1" applyBorder="1" applyAlignment="1">
      <alignment horizontal="center"/>
    </xf>
    <xf numFmtId="164" fontId="4" fillId="0" borderId="4" xfId="0" applyNumberFormat="1" applyFont="1" applyBorder="1" applyAlignment="1">
      <alignment horizontal="center" vertical="center"/>
    </xf>
    <xf numFmtId="0" fontId="4" fillId="0" borderId="0"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3" xfId="0" applyFont="1" applyBorder="1" applyAlignment="1">
      <alignment horizontal="center" vertical="center"/>
    </xf>
    <xf numFmtId="4" fontId="4" fillId="0" borderId="0" xfId="0" applyNumberFormat="1" applyFont="1" applyBorder="1" applyAlignment="1">
      <alignment horizontal="center" vertical="center"/>
    </xf>
    <xf numFmtId="4" fontId="4" fillId="0" borderId="16" xfId="0" applyNumberFormat="1" applyFont="1" applyBorder="1" applyAlignment="1">
      <alignment horizontal="center" vertical="center"/>
    </xf>
    <xf numFmtId="4" fontId="6" fillId="0" borderId="13" xfId="0" applyNumberFormat="1" applyFont="1" applyBorder="1" applyAlignment="1">
      <alignment horizontal="center" vertical="center" wrapText="1"/>
    </xf>
    <xf numFmtId="4" fontId="4" fillId="0" borderId="4" xfId="0" applyNumberFormat="1" applyFont="1" applyBorder="1" applyAlignment="1">
      <alignment horizontal="center" vertical="center"/>
    </xf>
    <xf numFmtId="4" fontId="7" fillId="0" borderId="0" xfId="0" applyNumberFormat="1" applyFont="1" applyBorder="1" applyAlignment="1">
      <alignment horizontal="center" vertical="center"/>
    </xf>
    <xf numFmtId="4" fontId="7" fillId="0" borderId="5" xfId="0" applyNumberFormat="1" applyFont="1" applyBorder="1" applyAlignment="1">
      <alignment horizontal="center" vertical="center"/>
    </xf>
    <xf numFmtId="2" fontId="2" fillId="0" borderId="0" xfId="0" applyNumberFormat="1" applyFont="1" applyBorder="1" applyAlignment="1">
      <alignment horizontal="center" vertical="center"/>
    </xf>
    <xf numFmtId="165" fontId="2" fillId="0" borderId="5" xfId="0" applyNumberFormat="1" applyFont="1" applyBorder="1" applyAlignment="1">
      <alignment horizontal="center" vertical="center"/>
    </xf>
    <xf numFmtId="0" fontId="0" fillId="0" borderId="0" xfId="0" applyBorder="1" applyAlignment="1">
      <alignment vertical="center"/>
    </xf>
    <xf numFmtId="164" fontId="5" fillId="0" borderId="6" xfId="0" applyNumberFormat="1" applyFont="1" applyBorder="1" applyAlignment="1">
      <alignment horizontal="center" vertical="top"/>
    </xf>
    <xf numFmtId="0" fontId="5" fillId="0" borderId="7" xfId="0" applyFont="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xf>
    <xf numFmtId="4" fontId="0" fillId="0" borderId="7" xfId="0" applyNumberFormat="1" applyFont="1" applyBorder="1" applyAlignment="1">
      <alignment horizontal="center"/>
    </xf>
    <xf numFmtId="0" fontId="5" fillId="0" borderId="7" xfId="0" applyFont="1" applyBorder="1" applyAlignment="1">
      <alignment horizontal="center"/>
    </xf>
    <xf numFmtId="4" fontId="5" fillId="0" borderId="19" xfId="0" applyNumberFormat="1" applyFont="1" applyBorder="1" applyAlignment="1">
      <alignment horizontal="center" vertical="top"/>
    </xf>
    <xf numFmtId="4" fontId="5" fillId="0" borderId="7" xfId="0" applyNumberFormat="1" applyFont="1" applyBorder="1" applyAlignment="1">
      <alignment horizontal="center" vertical="top"/>
    </xf>
    <xf numFmtId="4" fontId="5" fillId="0" borderId="6" xfId="0" applyNumberFormat="1" applyFont="1" applyBorder="1" applyAlignment="1">
      <alignment horizontal="center"/>
    </xf>
    <xf numFmtId="4" fontId="5" fillId="0" borderId="7" xfId="0" applyNumberFormat="1" applyFont="1" applyBorder="1" applyAlignment="1">
      <alignment horizontal="center"/>
    </xf>
    <xf numFmtId="4" fontId="10" fillId="0" borderId="7" xfId="0" applyNumberFormat="1" applyFont="1" applyBorder="1" applyAlignment="1">
      <alignment horizontal="center"/>
    </xf>
    <xf numFmtId="4" fontId="10" fillId="0" borderId="8" xfId="0" applyNumberFormat="1" applyFont="1" applyBorder="1" applyAlignment="1">
      <alignment horizontal="center"/>
    </xf>
    <xf numFmtId="2" fontId="0" fillId="0" borderId="7" xfId="0" applyNumberFormat="1" applyFont="1" applyBorder="1" applyAlignment="1">
      <alignment horizontal="center"/>
    </xf>
    <xf numFmtId="0" fontId="5" fillId="0" borderId="8" xfId="0" applyFont="1" applyBorder="1" applyAlignment="1">
      <alignment horizontal="center"/>
    </xf>
    <xf numFmtId="0" fontId="5" fillId="0" borderId="17" xfId="0" applyFont="1" applyBorder="1" applyAlignment="1">
      <alignment horizontal="center"/>
    </xf>
    <xf numFmtId="0" fontId="12" fillId="0" borderId="0" xfId="0" applyFont="1" applyFill="1" applyBorder="1"/>
    <xf numFmtId="0" fontId="0" fillId="0" borderId="0" xfId="0" applyFill="1" applyBorder="1"/>
    <xf numFmtId="0" fontId="12" fillId="0" borderId="0" xfId="0" applyFont="1" applyBorder="1" applyAlignment="1">
      <alignment horizontal="center"/>
    </xf>
    <xf numFmtId="2" fontId="12" fillId="0" borderId="0" xfId="0" applyNumberFormat="1" applyFont="1" applyBorder="1" applyAlignment="1">
      <alignment horizontal="center"/>
    </xf>
    <xf numFmtId="0" fontId="12" fillId="0" borderId="0" xfId="0" applyFont="1" applyBorder="1"/>
    <xf numFmtId="4" fontId="2" fillId="4" borderId="2" xfId="0" applyNumberFormat="1" applyFont="1" applyFill="1" applyBorder="1" applyAlignment="1">
      <alignment horizontal="center"/>
    </xf>
    <xf numFmtId="0" fontId="2" fillId="4" borderId="2" xfId="0" applyFont="1" applyFill="1" applyBorder="1"/>
    <xf numFmtId="4" fontId="2" fillId="4" borderId="3" xfId="0" applyNumberFormat="1" applyFont="1" applyFill="1" applyBorder="1" applyAlignment="1">
      <alignment horizontal="center"/>
    </xf>
    <xf numFmtId="0" fontId="14" fillId="3" borderId="23" xfId="0" applyFont="1" applyFill="1" applyBorder="1"/>
    <xf numFmtId="0" fontId="14" fillId="3" borderId="23" xfId="0" applyFont="1" applyFill="1" applyBorder="1" applyAlignment="1">
      <alignment horizontal="center"/>
    </xf>
    <xf numFmtId="164" fontId="2" fillId="4" borderId="23" xfId="0" applyNumberFormat="1" applyFont="1" applyFill="1" applyBorder="1"/>
    <xf numFmtId="14" fontId="14" fillId="3" borderId="24" xfId="0" applyNumberFormat="1" applyFont="1" applyFill="1" applyBorder="1"/>
    <xf numFmtId="0" fontId="5" fillId="0" borderId="0" xfId="0" applyFont="1" applyFill="1" applyBorder="1"/>
    <xf numFmtId="0" fontId="5" fillId="3" borderId="4" xfId="0" applyFont="1" applyFill="1" applyBorder="1"/>
    <xf numFmtId="0" fontId="5" fillId="3" borderId="14" xfId="0" applyFont="1" applyFill="1" applyBorder="1" applyAlignment="1">
      <alignment horizontal="right"/>
    </xf>
    <xf numFmtId="2" fontId="5" fillId="3" borderId="0" xfId="0" applyNumberFormat="1" applyFont="1" applyFill="1" applyBorder="1"/>
    <xf numFmtId="0" fontId="5" fillId="3" borderId="0" xfId="0" applyFont="1" applyFill="1" applyBorder="1"/>
    <xf numFmtId="0" fontId="0" fillId="4" borderId="0" xfId="0" applyFill="1" applyBorder="1"/>
    <xf numFmtId="0" fontId="5" fillId="3" borderId="5" xfId="0" applyFont="1" applyFill="1" applyBorder="1"/>
    <xf numFmtId="0" fontId="10" fillId="4" borderId="14" xfId="0" applyFont="1" applyFill="1" applyBorder="1" applyAlignment="1">
      <alignment horizontal="right"/>
    </xf>
    <xf numFmtId="0" fontId="15" fillId="4" borderId="14" xfId="0" applyFont="1" applyFill="1" applyBorder="1" applyAlignment="1">
      <alignment horizontal="right"/>
    </xf>
    <xf numFmtId="0" fontId="5" fillId="3" borderId="6" xfId="0" applyFont="1" applyFill="1" applyBorder="1"/>
    <xf numFmtId="0" fontId="15" fillId="4" borderId="17" xfId="0" applyFont="1" applyFill="1" applyBorder="1" applyAlignment="1">
      <alignment horizontal="right"/>
    </xf>
    <xf numFmtId="2" fontId="5" fillId="3" borderId="7" xfId="0" applyNumberFormat="1" applyFont="1" applyFill="1" applyBorder="1"/>
    <xf numFmtId="0" fontId="5" fillId="3" borderId="7" xfId="0" applyFont="1" applyFill="1" applyBorder="1"/>
    <xf numFmtId="4" fontId="5" fillId="3" borderId="7" xfId="0" applyNumberFormat="1" applyFont="1" applyFill="1" applyBorder="1"/>
    <xf numFmtId="0" fontId="5" fillId="3" borderId="8" xfId="0" applyFont="1" applyFill="1" applyBorder="1"/>
    <xf numFmtId="2" fontId="4" fillId="0" borderId="2" xfId="0" applyNumberFormat="1" applyFont="1" applyBorder="1" applyAlignment="1">
      <alignment horizontal="center" vertical="top"/>
    </xf>
    <xf numFmtId="2" fontId="4" fillId="0" borderId="0" xfId="0" applyNumberFormat="1" applyFont="1" applyBorder="1" applyAlignment="1">
      <alignment horizontal="center" vertical="top"/>
    </xf>
    <xf numFmtId="2" fontId="4" fillId="0" borderId="0" xfId="0" applyNumberFormat="1" applyFont="1" applyBorder="1" applyAlignment="1">
      <alignment horizontal="center"/>
    </xf>
    <xf numFmtId="2" fontId="4" fillId="0" borderId="0" xfId="0" applyNumberFormat="1" applyFont="1" applyBorder="1" applyAlignment="1">
      <alignment horizontal="center" vertical="center"/>
    </xf>
    <xf numFmtId="2" fontId="2" fillId="4" borderId="3" xfId="0" applyNumberFormat="1" applyFont="1" applyFill="1" applyBorder="1" applyAlignment="1">
      <alignment horizontal="center"/>
    </xf>
    <xf numFmtId="2" fontId="5" fillId="3" borderId="5" xfId="0" applyNumberFormat="1" applyFont="1" applyFill="1" applyBorder="1"/>
    <xf numFmtId="2" fontId="5" fillId="3" borderId="8" xfId="0" applyNumberFormat="1" applyFont="1" applyFill="1" applyBorder="1"/>
    <xf numFmtId="2" fontId="12" fillId="0" borderId="0" xfId="0" applyNumberFormat="1" applyFont="1" applyBorder="1"/>
    <xf numFmtId="0" fontId="0" fillId="0" borderId="1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vertical="center"/>
    </xf>
    <xf numFmtId="0" fontId="12" fillId="0" borderId="0" xfId="0" applyFont="1" applyFill="1" applyBorder="1" applyAlignment="1">
      <alignment horizontal="center"/>
    </xf>
    <xf numFmtId="0" fontId="0" fillId="0" borderId="0" xfId="0" applyFill="1" applyBorder="1" applyAlignment="1">
      <alignment horizontal="center"/>
    </xf>
    <xf numFmtId="0" fontId="12" fillId="2" borderId="5" xfId="0" applyFont="1" applyFill="1" applyBorder="1" applyAlignment="1">
      <alignment horizontal="center"/>
    </xf>
    <xf numFmtId="0" fontId="2" fillId="4" borderId="2" xfId="0" applyFont="1" applyFill="1" applyBorder="1" applyAlignment="1">
      <alignment horizontal="center"/>
    </xf>
    <xf numFmtId="0" fontId="5" fillId="0" borderId="0" xfId="0" applyFont="1" applyFill="1" applyBorder="1" applyAlignment="1">
      <alignment horizontal="center"/>
    </xf>
    <xf numFmtId="0" fontId="5" fillId="3" borderId="4" xfId="0" applyFont="1" applyFill="1" applyBorder="1" applyAlignment="1">
      <alignment horizontal="center"/>
    </xf>
    <xf numFmtId="2" fontId="5" fillId="3" borderId="0" xfId="0" applyNumberFormat="1" applyFont="1" applyFill="1" applyBorder="1" applyAlignment="1">
      <alignment horizontal="center"/>
    </xf>
    <xf numFmtId="0" fontId="5" fillId="3" borderId="0" xfId="0" applyFont="1" applyFill="1" applyBorder="1" applyAlignment="1">
      <alignment horizontal="center"/>
    </xf>
    <xf numFmtId="0" fontId="0" fillId="4" borderId="0" xfId="0"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2" fontId="5" fillId="3" borderId="7" xfId="0" applyNumberFormat="1" applyFont="1" applyFill="1" applyBorder="1" applyAlignment="1">
      <alignment horizontal="center"/>
    </xf>
    <xf numFmtId="0" fontId="5" fillId="3" borderId="7" xfId="0" applyFont="1" applyFill="1" applyBorder="1" applyAlignment="1">
      <alignment horizontal="center"/>
    </xf>
    <xf numFmtId="4" fontId="5" fillId="3" borderId="7" xfId="0" applyNumberFormat="1" applyFont="1" applyFill="1" applyBorder="1" applyAlignment="1">
      <alignment horizontal="center"/>
    </xf>
    <xf numFmtId="0" fontId="5" fillId="3" borderId="8" xfId="0" applyFont="1" applyFill="1" applyBorder="1" applyAlignment="1">
      <alignment horizontal="center"/>
    </xf>
    <xf numFmtId="2" fontId="5" fillId="0" borderId="11" xfId="0" applyNumberFormat="1" applyFont="1" applyBorder="1" applyAlignment="1">
      <alignment horizontal="center"/>
    </xf>
    <xf numFmtId="2" fontId="4" fillId="0" borderId="13" xfId="0" applyNumberFormat="1" applyFont="1" applyBorder="1" applyAlignment="1">
      <alignment horizontal="center"/>
    </xf>
    <xf numFmtId="2" fontId="4" fillId="0" borderId="13" xfId="0" applyNumberFormat="1" applyFont="1" applyBorder="1" applyAlignment="1">
      <alignment horizontal="center" vertical="center"/>
    </xf>
    <xf numFmtId="2" fontId="2" fillId="4" borderId="2" xfId="0" applyNumberFormat="1" applyFont="1" applyFill="1" applyBorder="1" applyAlignment="1">
      <alignment horizontal="center"/>
    </xf>
    <xf numFmtId="14" fontId="14" fillId="3" borderId="23" xfId="0" applyNumberFormat="1" applyFont="1" applyFill="1" applyBorder="1"/>
    <xf numFmtId="14" fontId="0" fillId="7" borderId="0" xfId="0" applyNumberFormat="1" applyFill="1" applyBorder="1" applyAlignment="1">
      <alignment horizontal="center"/>
    </xf>
    <xf numFmtId="0" fontId="0" fillId="7" borderId="0" xfId="0" applyFill="1" applyBorder="1" applyAlignment="1">
      <alignment horizontal="center"/>
    </xf>
    <xf numFmtId="2" fontId="0" fillId="7" borderId="0" xfId="0" applyNumberFormat="1" applyFill="1" applyBorder="1" applyAlignment="1">
      <alignment horizontal="center"/>
    </xf>
    <xf numFmtId="4" fontId="0" fillId="0" borderId="6" xfId="0" applyNumberFormat="1" applyFont="1" applyBorder="1" applyAlignment="1">
      <alignment horizontal="center"/>
    </xf>
    <xf numFmtId="2" fontId="0" fillId="0" borderId="6" xfId="0" applyNumberFormat="1" applyFont="1" applyBorder="1" applyAlignment="1">
      <alignment horizontal="center"/>
    </xf>
    <xf numFmtId="4" fontId="0" fillId="0" borderId="8" xfId="0" applyNumberFormat="1" applyFont="1" applyBorder="1" applyAlignment="1">
      <alignment horizontal="center"/>
    </xf>
    <xf numFmtId="4" fontId="0" fillId="0" borderId="20" xfId="0" applyNumberFormat="1" applyFont="1" applyBorder="1" applyAlignment="1">
      <alignment horizontal="center"/>
    </xf>
    <xf numFmtId="4" fontId="5" fillId="0" borderId="18" xfId="0" applyNumberFormat="1" applyFont="1" applyBorder="1" applyAlignment="1">
      <alignment horizontal="center" vertical="top"/>
    </xf>
    <xf numFmtId="0" fontId="12" fillId="0" borderId="0" xfId="0" applyFont="1" applyBorder="1" applyAlignment="1">
      <alignment horizontal="center" vertical="center"/>
    </xf>
    <xf numFmtId="2" fontId="12" fillId="0" borderId="0" xfId="0" applyNumberFormat="1" applyFont="1" applyBorder="1" applyAlignment="1">
      <alignment horizontal="center" vertical="center"/>
    </xf>
    <xf numFmtId="164" fontId="5" fillId="0" borderId="6" xfId="0" applyNumberFormat="1" applyFont="1" applyBorder="1" applyAlignment="1">
      <alignment horizontal="center" vertical="center"/>
    </xf>
    <xf numFmtId="0" fontId="5" fillId="0" borderId="7"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4" fontId="0" fillId="0" borderId="7" xfId="0" applyNumberFormat="1" applyFont="1" applyBorder="1" applyAlignment="1">
      <alignment horizontal="center" vertical="center"/>
    </xf>
    <xf numFmtId="4" fontId="0" fillId="0" borderId="8" xfId="0" applyNumberFormat="1" applyFont="1" applyBorder="1" applyAlignment="1">
      <alignment horizontal="center" vertical="center"/>
    </xf>
    <xf numFmtId="4" fontId="0" fillId="0" borderId="20" xfId="0" applyNumberFormat="1" applyFont="1" applyBorder="1" applyAlignment="1">
      <alignment horizontal="center" vertical="center"/>
    </xf>
    <xf numFmtId="4" fontId="5" fillId="0" borderId="18" xfId="0" applyNumberFormat="1" applyFont="1" applyBorder="1" applyAlignment="1">
      <alignment horizontal="center" vertical="center"/>
    </xf>
    <xf numFmtId="4" fontId="5" fillId="0" borderId="7" xfId="0" applyNumberFormat="1" applyFont="1" applyBorder="1" applyAlignment="1">
      <alignment horizontal="center" vertical="center"/>
    </xf>
    <xf numFmtId="4" fontId="5" fillId="0" borderId="6" xfId="0" applyNumberFormat="1" applyFont="1" applyBorder="1" applyAlignment="1">
      <alignment horizontal="center" vertical="center"/>
    </xf>
    <xf numFmtId="4" fontId="10" fillId="0" borderId="7" xfId="0" applyNumberFormat="1" applyFont="1" applyBorder="1" applyAlignment="1">
      <alignment horizontal="center" vertical="center"/>
    </xf>
    <xf numFmtId="4" fontId="10" fillId="0" borderId="8" xfId="0" applyNumberFormat="1" applyFont="1" applyBorder="1" applyAlignment="1">
      <alignment horizontal="center" vertical="center"/>
    </xf>
    <xf numFmtId="2" fontId="0" fillId="0" borderId="7" xfId="0" applyNumberFormat="1" applyFont="1" applyBorder="1" applyAlignment="1">
      <alignment horizontal="center" vertical="center"/>
    </xf>
    <xf numFmtId="0" fontId="5" fillId="0" borderId="8" xfId="0" applyFont="1" applyBorder="1" applyAlignment="1">
      <alignment horizontal="center" vertical="center"/>
    </xf>
    <xf numFmtId="0" fontId="0" fillId="7" borderId="5" xfId="0" applyFill="1" applyBorder="1" applyAlignment="1">
      <alignment horizontal="center"/>
    </xf>
    <xf numFmtId="0" fontId="0" fillId="7" borderId="16" xfId="0" applyFill="1" applyBorder="1" applyAlignment="1">
      <alignment horizontal="center"/>
    </xf>
    <xf numFmtId="0" fontId="0" fillId="0" borderId="14" xfId="0" applyBorder="1" applyAlignment="1">
      <alignment horizontal="center"/>
    </xf>
    <xf numFmtId="0" fontId="0" fillId="7" borderId="14" xfId="0" applyFill="1" applyBorder="1" applyAlignment="1">
      <alignment horizontal="center"/>
    </xf>
    <xf numFmtId="0" fontId="0" fillId="0" borderId="15" xfId="0" applyBorder="1" applyAlignment="1">
      <alignment horizontal="center"/>
    </xf>
    <xf numFmtId="0" fontId="0" fillId="7" borderId="15" xfId="0" applyFill="1" applyBorder="1" applyAlignment="1">
      <alignment horizontal="center"/>
    </xf>
    <xf numFmtId="2" fontId="0" fillId="7" borderId="14" xfId="0" applyNumberFormat="1" applyFill="1" applyBorder="1" applyAlignment="1">
      <alignment horizontal="center"/>
    </xf>
    <xf numFmtId="2" fontId="0" fillId="0" borderId="0" xfId="0" applyNumberFormat="1" applyBorder="1" applyAlignment="1">
      <alignment horizontal="center"/>
    </xf>
    <xf numFmtId="0" fontId="0" fillId="9" borderId="0" xfId="0" applyFill="1" applyBorder="1"/>
    <xf numFmtId="0" fontId="12" fillId="0" borderId="0"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2" fontId="12" fillId="0" borderId="0"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0" fillId="0" borderId="5" xfId="0" applyFill="1" applyBorder="1" applyAlignment="1">
      <alignment horizontal="center" vertical="center"/>
    </xf>
    <xf numFmtId="0" fontId="0" fillId="0" borderId="0" xfId="0" applyFill="1" applyBorder="1" applyAlignment="1">
      <alignment horizontal="center" vertical="center"/>
    </xf>
    <xf numFmtId="0" fontId="12" fillId="10" borderId="0" xfId="0" applyFont="1" applyFill="1" applyBorder="1" applyAlignment="1">
      <alignment horizontal="center"/>
    </xf>
    <xf numFmtId="2" fontId="12" fillId="10" borderId="0" xfId="0" applyNumberFormat="1" applyFont="1" applyFill="1" applyBorder="1" applyAlignment="1">
      <alignment horizontal="center"/>
    </xf>
    <xf numFmtId="0" fontId="12" fillId="10" borderId="0" xfId="0" applyFont="1" applyFill="1" applyBorder="1"/>
    <xf numFmtId="0" fontId="0" fillId="10" borderId="0" xfId="0" applyFill="1" applyBorder="1"/>
    <xf numFmtId="14" fontId="12" fillId="10" borderId="0" xfId="0" applyNumberFormat="1" applyFont="1" applyFill="1" applyBorder="1" applyAlignment="1">
      <alignment horizontal="center"/>
    </xf>
    <xf numFmtId="0" fontId="2" fillId="0" borderId="0" xfId="0" applyFont="1" applyFill="1" applyBorder="1" applyAlignment="1"/>
    <xf numFmtId="0" fontId="11" fillId="0" borderId="0" xfId="0" applyFont="1" applyBorder="1"/>
    <xf numFmtId="0" fontId="11" fillId="0" borderId="0" xfId="0" applyFont="1" applyBorder="1" applyAlignment="1">
      <alignment horizontal="center"/>
    </xf>
    <xf numFmtId="14" fontId="0" fillId="0" borderId="0" xfId="0" applyNumberFormat="1" applyBorder="1" applyAlignment="1">
      <alignment horizontal="center"/>
    </xf>
    <xf numFmtId="4" fontId="0" fillId="0" borderId="0" xfId="0" applyNumberFormat="1" applyBorder="1" applyAlignment="1">
      <alignment horizontal="center"/>
    </xf>
    <xf numFmtId="0" fontId="25" fillId="0" borderId="13" xfId="0" applyFont="1" applyBorder="1" applyAlignment="1">
      <alignment horizontal="center"/>
    </xf>
    <xf numFmtId="0" fontId="2" fillId="0" borderId="14" xfId="0" applyFont="1" applyBorder="1" applyAlignment="1">
      <alignment horizontal="center"/>
    </xf>
    <xf numFmtId="2" fontId="0" fillId="0" borderId="14" xfId="0" applyNumberFormat="1" applyBorder="1" applyAlignment="1">
      <alignment horizontal="center"/>
    </xf>
    <xf numFmtId="0" fontId="0" fillId="0" borderId="23" xfId="0" applyBorder="1" applyAlignment="1">
      <alignment horizontal="center"/>
    </xf>
    <xf numFmtId="14" fontId="0" fillId="0" borderId="23" xfId="0" applyNumberFormat="1" applyBorder="1" applyAlignment="1">
      <alignment horizontal="center"/>
    </xf>
    <xf numFmtId="2" fontId="0" fillId="0" borderId="23" xfId="0" applyNumberFormat="1" applyBorder="1" applyAlignment="1">
      <alignment horizontal="center"/>
    </xf>
    <xf numFmtId="2" fontId="0" fillId="0" borderId="22" xfId="0" applyNumberFormat="1" applyBorder="1" applyAlignment="1">
      <alignment horizontal="center"/>
    </xf>
    <xf numFmtId="14" fontId="26" fillId="9" borderId="0" xfId="0" applyNumberFormat="1" applyFont="1" applyFill="1" applyBorder="1" applyAlignment="1">
      <alignment horizontal="center"/>
    </xf>
    <xf numFmtId="0" fontId="26" fillId="9" borderId="0" xfId="0" applyFont="1" applyFill="1" applyBorder="1" applyAlignment="1">
      <alignment horizontal="center"/>
    </xf>
    <xf numFmtId="2" fontId="26" fillId="9" borderId="0" xfId="0" applyNumberFormat="1" applyFont="1" applyFill="1" applyBorder="1" applyAlignment="1">
      <alignment horizontal="center"/>
    </xf>
    <xf numFmtId="0" fontId="24" fillId="9" borderId="0" xfId="0" applyFont="1" applyFill="1" applyBorder="1"/>
    <xf numFmtId="0" fontId="26" fillId="9" borderId="15" xfId="0" applyFont="1" applyFill="1" applyBorder="1" applyAlignment="1">
      <alignment horizontal="center"/>
    </xf>
    <xf numFmtId="0" fontId="26" fillId="9" borderId="14" xfId="0" applyFont="1" applyFill="1" applyBorder="1" applyAlignment="1">
      <alignment horizontal="center"/>
    </xf>
    <xf numFmtId="2" fontId="26" fillId="9" borderId="5" xfId="0" applyNumberFormat="1" applyFont="1" applyFill="1" applyBorder="1" applyAlignment="1">
      <alignment horizontal="center"/>
    </xf>
    <xf numFmtId="0" fontId="26" fillId="9" borderId="16" xfId="0" applyFont="1" applyFill="1" applyBorder="1" applyAlignment="1">
      <alignment horizontal="center"/>
    </xf>
    <xf numFmtId="0" fontId="26" fillId="9" borderId="5" xfId="0" applyFont="1" applyFill="1" applyBorder="1" applyAlignment="1">
      <alignment horizontal="center"/>
    </xf>
    <xf numFmtId="2" fontId="26" fillId="9" borderId="15" xfId="0" applyNumberFormat="1" applyFon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5" xfId="0" applyFill="1" applyBorder="1" applyAlignment="1">
      <alignment horizontal="center"/>
    </xf>
    <xf numFmtId="0" fontId="0" fillId="2" borderId="16" xfId="0" applyFill="1" applyBorder="1" applyAlignment="1">
      <alignment horizontal="center"/>
    </xf>
    <xf numFmtId="2" fontId="0" fillId="2" borderId="14" xfId="0" applyNumberFormat="1" applyFill="1" applyBorder="1" applyAlignment="1">
      <alignment horizontal="center"/>
    </xf>
    <xf numFmtId="2" fontId="0" fillId="2" borderId="0" xfId="0" applyNumberFormat="1" applyFill="1" applyBorder="1" applyAlignment="1">
      <alignment horizontal="center"/>
    </xf>
    <xf numFmtId="0" fontId="0" fillId="2" borderId="0" xfId="0" applyFill="1" applyBorder="1"/>
    <xf numFmtId="0" fontId="12" fillId="0" borderId="5" xfId="0" applyFont="1" applyBorder="1" applyAlignment="1">
      <alignment horizontal="center"/>
    </xf>
    <xf numFmtId="0" fontId="12" fillId="10" borderId="5" xfId="0" applyFont="1" applyFill="1" applyBorder="1" applyAlignment="1">
      <alignment horizontal="center"/>
    </xf>
    <xf numFmtId="2" fontId="12" fillId="10" borderId="5" xfId="0" applyNumberFormat="1" applyFont="1" applyFill="1" applyBorder="1" applyAlignment="1">
      <alignment horizontal="center"/>
    </xf>
    <xf numFmtId="0" fontId="12" fillId="0" borderId="16" xfId="0" applyFont="1" applyBorder="1" applyAlignment="1">
      <alignment horizontal="center"/>
    </xf>
    <xf numFmtId="0" fontId="12" fillId="10" borderId="16" xfId="0" applyFont="1" applyFill="1" applyBorder="1" applyAlignment="1">
      <alignment horizontal="center"/>
    </xf>
    <xf numFmtId="0" fontId="12" fillId="0" borderId="5" xfId="0" applyFont="1" applyBorder="1"/>
    <xf numFmtId="0" fontId="0" fillId="10" borderId="5" xfId="0" applyFill="1" applyBorder="1"/>
    <xf numFmtId="0" fontId="12" fillId="0" borderId="14" xfId="0" applyFont="1" applyBorder="1" applyAlignment="1">
      <alignment horizontal="center"/>
    </xf>
    <xf numFmtId="0" fontId="12" fillId="10" borderId="14" xfId="0" applyFont="1" applyFill="1" applyBorder="1" applyAlignment="1">
      <alignment horizontal="center"/>
    </xf>
    <xf numFmtId="0" fontId="12" fillId="0" borderId="15" xfId="0" applyFont="1" applyBorder="1" applyAlignment="1">
      <alignment horizontal="center"/>
    </xf>
    <xf numFmtId="0" fontId="12" fillId="10" borderId="15" xfId="0" applyFont="1" applyFill="1" applyBorder="1" applyAlignment="1">
      <alignment horizontal="center"/>
    </xf>
    <xf numFmtId="2" fontId="12" fillId="10" borderId="14" xfId="0" applyNumberFormat="1" applyFont="1" applyFill="1" applyBorder="1" applyAlignment="1">
      <alignment horizontal="center"/>
    </xf>
    <xf numFmtId="0" fontId="12" fillId="8" borderId="5" xfId="0" applyFont="1" applyFill="1" applyBorder="1" applyAlignment="1">
      <alignment horizontal="center"/>
    </xf>
    <xf numFmtId="14" fontId="0" fillId="0" borderId="0" xfId="0" applyNumberFormat="1" applyFill="1" applyBorder="1" applyAlignment="1">
      <alignment horizontal="center"/>
    </xf>
    <xf numFmtId="2" fontId="0" fillId="0" borderId="0" xfId="0" applyNumberFormat="1" applyFill="1" applyBorder="1" applyAlignment="1">
      <alignment horizontal="center"/>
    </xf>
    <xf numFmtId="14" fontId="0" fillId="11" borderId="0" xfId="0" applyNumberFormat="1" applyFill="1" applyBorder="1" applyAlignment="1">
      <alignment horizontal="center"/>
    </xf>
    <xf numFmtId="0" fontId="0" fillId="11" borderId="0" xfId="0" applyFill="1" applyBorder="1" applyAlignment="1">
      <alignment horizontal="center"/>
    </xf>
    <xf numFmtId="2" fontId="0" fillId="11" borderId="0" xfId="0" applyNumberFormat="1" applyFill="1" applyBorder="1" applyAlignment="1">
      <alignment horizontal="center"/>
    </xf>
    <xf numFmtId="0" fontId="0" fillId="11" borderId="0" xfId="0" applyFill="1" applyBorder="1"/>
    <xf numFmtId="0" fontId="0" fillId="0" borderId="14" xfId="0" applyFill="1" applyBorder="1" applyAlignment="1">
      <alignment horizontal="center"/>
    </xf>
    <xf numFmtId="0" fontId="0" fillId="11" borderId="14" xfId="0" applyFill="1" applyBorder="1" applyAlignment="1">
      <alignment horizontal="center"/>
    </xf>
    <xf numFmtId="0" fontId="0" fillId="0" borderId="15" xfId="0" applyFill="1" applyBorder="1" applyAlignment="1">
      <alignment horizontal="center"/>
    </xf>
    <xf numFmtId="0" fontId="0" fillId="11" borderId="15" xfId="0" applyFill="1" applyBorder="1" applyAlignment="1">
      <alignment horizontal="center"/>
    </xf>
    <xf numFmtId="2" fontId="0" fillId="0" borderId="14" xfId="0" applyNumberFormat="1" applyFill="1" applyBorder="1" applyAlignment="1">
      <alignment horizontal="center"/>
    </xf>
    <xf numFmtId="2" fontId="0" fillId="11" borderId="14" xfId="0" applyNumberFormat="1" applyFill="1" applyBorder="1" applyAlignment="1">
      <alignment horizontal="center"/>
    </xf>
    <xf numFmtId="0" fontId="0" fillId="0" borderId="5" xfId="0" applyFill="1" applyBorder="1" applyAlignment="1">
      <alignment horizontal="center"/>
    </xf>
    <xf numFmtId="0" fontId="0" fillId="11" borderId="5" xfId="0" applyFill="1" applyBorder="1" applyAlignment="1">
      <alignment horizontal="center"/>
    </xf>
    <xf numFmtId="0" fontId="0" fillId="0" borderId="16" xfId="0" applyFill="1" applyBorder="1" applyAlignment="1">
      <alignment horizontal="center"/>
    </xf>
    <xf numFmtId="0" fontId="0" fillId="11" borderId="16" xfId="0" applyFill="1" applyBorder="1" applyAlignment="1">
      <alignment horizontal="center"/>
    </xf>
    <xf numFmtId="0" fontId="0" fillId="12" borderId="0" xfId="0" applyFill="1" applyBorder="1" applyAlignment="1">
      <alignment horizontal="center"/>
    </xf>
    <xf numFmtId="0" fontId="0" fillId="12" borderId="0" xfId="0" applyFill="1" applyBorder="1"/>
    <xf numFmtId="4" fontId="4" fillId="0" borderId="5" xfId="0" applyNumberFormat="1" applyFont="1" applyBorder="1" applyAlignment="1">
      <alignment horizontal="center" vertical="center"/>
    </xf>
    <xf numFmtId="0" fontId="0" fillId="12" borderId="5" xfId="0" applyFill="1" applyBorder="1" applyAlignment="1">
      <alignment horizontal="center"/>
    </xf>
    <xf numFmtId="0" fontId="0" fillId="12" borderId="5" xfId="0" applyFill="1" applyBorder="1"/>
    <xf numFmtId="4" fontId="4" fillId="0" borderId="14" xfId="0" applyNumberFormat="1" applyFont="1" applyBorder="1" applyAlignment="1">
      <alignment horizontal="center"/>
    </xf>
    <xf numFmtId="4" fontId="4" fillId="0" borderId="14" xfId="0" applyNumberFormat="1" applyFont="1" applyBorder="1" applyAlignment="1">
      <alignment horizontal="center" vertical="center"/>
    </xf>
    <xf numFmtId="4" fontId="5" fillId="0" borderId="17" xfId="0" applyNumberFormat="1" applyFont="1" applyBorder="1" applyAlignment="1">
      <alignment horizontal="center"/>
    </xf>
    <xf numFmtId="2" fontId="0" fillId="12" borderId="14" xfId="0" applyNumberFormat="1" applyFill="1" applyBorder="1" applyAlignment="1">
      <alignment horizontal="center"/>
    </xf>
    <xf numFmtId="2" fontId="0" fillId="12" borderId="5" xfId="0" applyNumberFormat="1" applyFill="1" applyBorder="1" applyAlignment="1">
      <alignment horizontal="center"/>
    </xf>
    <xf numFmtId="0" fontId="0" fillId="13" borderId="5" xfId="0" applyFill="1" applyBorder="1" applyAlignment="1">
      <alignment horizontal="center"/>
    </xf>
    <xf numFmtId="2" fontId="26" fillId="9" borderId="16" xfId="0" applyNumberFormat="1" applyFont="1" applyFill="1" applyBorder="1" applyAlignment="1">
      <alignment horizontal="center"/>
    </xf>
    <xf numFmtId="0" fontId="28" fillId="10" borderId="0" xfId="0" applyFont="1" applyFill="1" applyBorder="1" applyAlignment="1">
      <alignment horizontal="center"/>
    </xf>
    <xf numFmtId="0" fontId="28" fillId="0" borderId="0" xfId="0" applyFont="1" applyBorder="1" applyAlignment="1">
      <alignment horizontal="center"/>
    </xf>
    <xf numFmtId="0" fontId="28" fillId="0" borderId="0" xfId="0" applyFont="1" applyFill="1" applyBorder="1" applyAlignment="1">
      <alignment horizontal="center"/>
    </xf>
    <xf numFmtId="0" fontId="27" fillId="10" borderId="5" xfId="0" applyFont="1" applyFill="1" applyBorder="1" applyAlignment="1">
      <alignment horizontal="center"/>
    </xf>
    <xf numFmtId="0" fontId="27" fillId="10" borderId="0" xfId="0" applyFont="1" applyFill="1" applyAlignment="1">
      <alignment horizontal="center"/>
    </xf>
    <xf numFmtId="0" fontId="27" fillId="0" borderId="0" xfId="0" applyFont="1" applyBorder="1" applyAlignment="1">
      <alignment horizontal="center"/>
    </xf>
    <xf numFmtId="0" fontId="27" fillId="0" borderId="5" xfId="0" applyFont="1" applyBorder="1" applyAlignment="1">
      <alignment horizontal="center"/>
    </xf>
    <xf numFmtId="0" fontId="27" fillId="2" borderId="0" xfId="0" applyFont="1" applyFill="1" applyBorder="1" applyAlignment="1">
      <alignment horizontal="center"/>
    </xf>
    <xf numFmtId="0" fontId="27" fillId="2" borderId="5" xfId="0" applyFont="1" applyFill="1" applyBorder="1" applyAlignment="1">
      <alignment horizontal="center"/>
    </xf>
    <xf numFmtId="14" fontId="0" fillId="5" borderId="0" xfId="0" applyNumberFormat="1" applyFill="1" applyBorder="1" applyAlignment="1">
      <alignment horizontal="center"/>
    </xf>
    <xf numFmtId="0" fontId="0" fillId="5" borderId="0" xfId="0"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16" xfId="0" applyFill="1" applyBorder="1"/>
    <xf numFmtId="2" fontId="0" fillId="5" borderId="0" xfId="0" applyNumberFormat="1" applyFill="1" applyBorder="1" applyAlignment="1">
      <alignment horizontal="center"/>
    </xf>
    <xf numFmtId="2" fontId="0" fillId="5" borderId="14" xfId="0" applyNumberFormat="1" applyFill="1" applyBorder="1" applyAlignment="1">
      <alignment horizontal="center"/>
    </xf>
    <xf numFmtId="2" fontId="0" fillId="5" borderId="5" xfId="0" applyNumberFormat="1" applyFill="1" applyBorder="1" applyAlignment="1">
      <alignment horizontal="center"/>
    </xf>
    <xf numFmtId="0" fontId="0" fillId="5" borderId="5" xfId="0" applyFill="1" applyBorder="1"/>
    <xf numFmtId="0" fontId="0" fillId="5" borderId="0" xfId="0" applyFill="1" applyBorder="1"/>
    <xf numFmtId="0" fontId="12" fillId="6" borderId="0" xfId="0" applyFont="1" applyFill="1" applyBorder="1" applyAlignment="1">
      <alignment horizontal="center"/>
    </xf>
    <xf numFmtId="2" fontId="12" fillId="6" borderId="0" xfId="0" applyNumberFormat="1" applyFont="1" applyFill="1" applyBorder="1" applyAlignment="1">
      <alignment horizontal="center"/>
    </xf>
    <xf numFmtId="0" fontId="12" fillId="8" borderId="0" xfId="0" applyFont="1" applyFill="1" applyBorder="1" applyAlignment="1">
      <alignment horizontal="center"/>
    </xf>
    <xf numFmtId="14" fontId="12" fillId="6" borderId="0" xfId="0" applyNumberFormat="1" applyFont="1" applyFill="1" applyBorder="1" applyAlignment="1">
      <alignment horizontal="center"/>
    </xf>
    <xf numFmtId="0" fontId="12" fillId="2" borderId="0" xfId="0" applyFont="1" applyFill="1" applyBorder="1" applyAlignment="1">
      <alignment horizontal="center"/>
    </xf>
    <xf numFmtId="2" fontId="12" fillId="2" borderId="0" xfId="0" applyNumberFormat="1" applyFont="1" applyFill="1" applyBorder="1" applyAlignment="1">
      <alignment horizontal="center"/>
    </xf>
    <xf numFmtId="14" fontId="12" fillId="2" borderId="0" xfId="0" applyNumberFormat="1" applyFont="1" applyFill="1" applyBorder="1" applyAlignment="1">
      <alignment horizontal="center"/>
    </xf>
    <xf numFmtId="2" fontId="12" fillId="2" borderId="0" xfId="0" applyNumberFormat="1" applyFont="1" applyFill="1" applyBorder="1"/>
    <xf numFmtId="2" fontId="26" fillId="9" borderId="14" xfId="0" applyNumberFormat="1" applyFont="1" applyFill="1" applyBorder="1" applyAlignment="1">
      <alignment horizontal="center"/>
    </xf>
    <xf numFmtId="2" fontId="26" fillId="9" borderId="0" xfId="0" applyNumberFormat="1" applyFont="1" applyFill="1" applyBorder="1"/>
    <xf numFmtId="2" fontId="26" fillId="9" borderId="5" xfId="0" applyNumberFormat="1" applyFont="1" applyFill="1" applyBorder="1"/>
    <xf numFmtId="0" fontId="12" fillId="5" borderId="0" xfId="0" applyFont="1" applyFill="1" applyBorder="1" applyAlignment="1">
      <alignment horizontal="center"/>
    </xf>
    <xf numFmtId="2" fontId="12" fillId="5" borderId="0" xfId="0" applyNumberFormat="1" applyFont="1" applyFill="1" applyBorder="1" applyAlignment="1">
      <alignment horizontal="center"/>
    </xf>
    <xf numFmtId="0" fontId="28" fillId="5" borderId="0" xfId="0" applyFont="1" applyFill="1" applyBorder="1" applyAlignment="1">
      <alignment horizontal="center"/>
    </xf>
    <xf numFmtId="0" fontId="27" fillId="2" borderId="0" xfId="0" applyFont="1" applyFill="1" applyBorder="1" applyAlignment="1">
      <alignment horizontal="center" vertical="center"/>
    </xf>
    <xf numFmtId="0" fontId="27" fillId="2" borderId="5" xfId="0" applyFont="1" applyFill="1" applyBorder="1" applyAlignment="1">
      <alignment horizontal="center" vertical="center"/>
    </xf>
    <xf numFmtId="14" fontId="0" fillId="2" borderId="0" xfId="0" applyNumberForma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2" fontId="0" fillId="2" borderId="0" xfId="0" applyNumberFormat="1" applyFill="1" applyBorder="1" applyAlignment="1">
      <alignment horizontal="center" vertical="center"/>
    </xf>
    <xf numFmtId="2" fontId="0" fillId="2" borderId="14" xfId="0" applyNumberFormat="1" applyFill="1" applyBorder="1" applyAlignment="1">
      <alignment horizontal="center" vertical="center"/>
    </xf>
    <xf numFmtId="14" fontId="12" fillId="5" borderId="0" xfId="0" applyNumberFormat="1" applyFont="1" applyFill="1" applyBorder="1" applyAlignment="1">
      <alignment horizontal="center"/>
    </xf>
    <xf numFmtId="2" fontId="0" fillId="2" borderId="5" xfId="0" applyNumberFormat="1" applyFill="1" applyBorder="1" applyAlignment="1">
      <alignment horizontal="center"/>
    </xf>
    <xf numFmtId="2" fontId="0" fillId="2" borderId="5" xfId="0" applyNumberFormat="1" applyFill="1" applyBorder="1" applyAlignment="1">
      <alignment horizontal="center" vertical="center"/>
    </xf>
    <xf numFmtId="2" fontId="12" fillId="5" borderId="0" xfId="0" applyNumberFormat="1" applyFont="1" applyFill="1" applyBorder="1"/>
    <xf numFmtId="2" fontId="0" fillId="7" borderId="5" xfId="0" applyNumberFormat="1" applyFill="1" applyBorder="1" applyAlignment="1">
      <alignment horizontal="center"/>
    </xf>
    <xf numFmtId="2" fontId="0" fillId="7" borderId="16" xfId="0" applyNumberFormat="1" applyFill="1" applyBorder="1" applyAlignment="1">
      <alignment horizontal="center"/>
    </xf>
    <xf numFmtId="2" fontId="0" fillId="11" borderId="5" xfId="0" applyNumberFormat="1" applyFill="1" applyBorder="1" applyAlignment="1">
      <alignment horizontal="center"/>
    </xf>
    <xf numFmtId="2" fontId="12" fillId="5" borderId="5" xfId="0" applyNumberFormat="1" applyFont="1" applyFill="1" applyBorder="1" applyAlignment="1">
      <alignment horizontal="center"/>
    </xf>
    <xf numFmtId="0" fontId="12" fillId="5" borderId="5" xfId="0" applyFont="1" applyFill="1" applyBorder="1" applyAlignment="1">
      <alignment horizontal="center"/>
    </xf>
    <xf numFmtId="0" fontId="12" fillId="5" borderId="16" xfId="0" applyFont="1" applyFill="1" applyBorder="1" applyAlignment="1">
      <alignment horizontal="center"/>
    </xf>
    <xf numFmtId="2" fontId="12" fillId="0" borderId="5" xfId="0" applyNumberFormat="1" applyFont="1" applyBorder="1"/>
    <xf numFmtId="2" fontId="12" fillId="5" borderId="5" xfId="0" applyNumberFormat="1" applyFont="1" applyFill="1" applyBorder="1"/>
    <xf numFmtId="0" fontId="27" fillId="5" borderId="5" xfId="0" applyFont="1" applyFill="1" applyBorder="1" applyAlignment="1">
      <alignment horizontal="center"/>
    </xf>
    <xf numFmtId="2" fontId="12" fillId="5" borderId="14" xfId="0" applyNumberFormat="1" applyFont="1" applyFill="1" applyBorder="1" applyAlignment="1">
      <alignment horizontal="center"/>
    </xf>
    <xf numFmtId="0" fontId="12" fillId="5" borderId="14" xfId="0" applyFont="1" applyFill="1" applyBorder="1" applyAlignment="1">
      <alignment horizontal="center"/>
    </xf>
    <xf numFmtId="0" fontId="12" fillId="5" borderId="15" xfId="0" applyFont="1" applyFill="1" applyBorder="1" applyAlignment="1">
      <alignment horizontal="center"/>
    </xf>
    <xf numFmtId="2" fontId="12" fillId="2" borderId="14" xfId="0" applyNumberFormat="1" applyFont="1" applyFill="1" applyBorder="1" applyAlignment="1">
      <alignment horizontal="center"/>
    </xf>
    <xf numFmtId="0" fontId="12" fillId="2" borderId="14" xfId="0" applyFont="1" applyFill="1" applyBorder="1" applyAlignment="1">
      <alignment horizontal="center"/>
    </xf>
    <xf numFmtId="2" fontId="12" fillId="2" borderId="15" xfId="0" applyNumberFormat="1" applyFont="1" applyFill="1" applyBorder="1" applyAlignment="1">
      <alignment horizontal="center"/>
    </xf>
    <xf numFmtId="0" fontId="12" fillId="2" borderId="15" xfId="0" applyFont="1" applyFill="1" applyBorder="1" applyAlignment="1">
      <alignment horizontal="center"/>
    </xf>
    <xf numFmtId="2" fontId="12" fillId="2" borderId="5" xfId="0" applyNumberFormat="1" applyFont="1" applyFill="1" applyBorder="1" applyAlignment="1">
      <alignment horizontal="center"/>
    </xf>
    <xf numFmtId="0" fontId="12" fillId="2" borderId="16" xfId="0" applyFont="1" applyFill="1" applyBorder="1" applyAlignment="1">
      <alignment horizontal="center"/>
    </xf>
    <xf numFmtId="2" fontId="12" fillId="2" borderId="5" xfId="0" applyNumberFormat="1" applyFont="1" applyFill="1" applyBorder="1"/>
    <xf numFmtId="0" fontId="0" fillId="2" borderId="5" xfId="0" applyFill="1" applyBorder="1"/>
    <xf numFmtId="0" fontId="12" fillId="0" borderId="14" xfId="0" applyFont="1" applyBorder="1"/>
    <xf numFmtId="0" fontId="12" fillId="2" borderId="14" xfId="0" applyFont="1" applyFill="1" applyBorder="1"/>
    <xf numFmtId="2" fontId="0" fillId="11" borderId="16" xfId="0" applyNumberFormat="1" applyFill="1" applyBorder="1" applyAlignment="1">
      <alignment horizontal="center"/>
    </xf>
    <xf numFmtId="2" fontId="12" fillId="2" borderId="16" xfId="0" applyNumberFormat="1" applyFont="1" applyFill="1" applyBorder="1" applyAlignment="1">
      <alignment horizontal="center"/>
    </xf>
    <xf numFmtId="0" fontId="12" fillId="9" borderId="0" xfId="0" applyFont="1" applyFill="1" applyBorder="1" applyAlignment="1">
      <alignment horizontal="center" vertical="center"/>
    </xf>
    <xf numFmtId="2" fontId="12" fillId="9" borderId="0" xfId="0" applyNumberFormat="1" applyFont="1" applyFill="1" applyBorder="1" applyAlignment="1">
      <alignment horizontal="center" vertical="center"/>
    </xf>
    <xf numFmtId="0" fontId="0" fillId="9" borderId="0" xfId="0" applyFill="1" applyBorder="1" applyAlignment="1">
      <alignment horizontal="center" vertical="center"/>
    </xf>
    <xf numFmtId="0" fontId="12" fillId="9" borderId="14"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16" xfId="0" applyFont="1" applyFill="1" applyBorder="1" applyAlignment="1">
      <alignment horizontal="center" vertical="center"/>
    </xf>
    <xf numFmtId="2" fontId="12" fillId="9" borderId="5" xfId="0" applyNumberFormat="1" applyFont="1" applyFill="1" applyBorder="1" applyAlignment="1">
      <alignment horizontal="center" vertical="center"/>
    </xf>
    <xf numFmtId="0" fontId="12" fillId="9" borderId="0" xfId="0" applyFont="1" applyFill="1" applyBorder="1" applyAlignment="1">
      <alignment horizontal="center"/>
    </xf>
    <xf numFmtId="2" fontId="12" fillId="9" borderId="0" xfId="0" applyNumberFormat="1" applyFont="1" applyFill="1" applyBorder="1" applyAlignment="1">
      <alignment horizontal="center"/>
    </xf>
    <xf numFmtId="0" fontId="28" fillId="9" borderId="0" xfId="0" applyFont="1" applyFill="1" applyBorder="1" applyAlignment="1">
      <alignment horizontal="center"/>
    </xf>
    <xf numFmtId="14" fontId="12" fillId="9" borderId="0" xfId="0" applyNumberFormat="1" applyFont="1" applyFill="1" applyBorder="1" applyAlignment="1">
      <alignment horizontal="center"/>
    </xf>
    <xf numFmtId="0" fontId="12" fillId="12" borderId="0" xfId="0" applyFont="1" applyFill="1" applyBorder="1" applyAlignment="1">
      <alignment horizontal="center"/>
    </xf>
    <xf numFmtId="2" fontId="12" fillId="12" borderId="0" xfId="0" applyNumberFormat="1" applyFont="1" applyFill="1" applyBorder="1" applyAlignment="1">
      <alignment horizontal="center"/>
    </xf>
    <xf numFmtId="0" fontId="12" fillId="12" borderId="0" xfId="0" applyFont="1" applyFill="1" applyBorder="1"/>
    <xf numFmtId="14" fontId="12" fillId="12" borderId="0" xfId="0" applyNumberFormat="1" applyFont="1" applyFill="1" applyBorder="1" applyAlignment="1">
      <alignment horizontal="center"/>
    </xf>
    <xf numFmtId="0" fontId="12" fillId="12" borderId="14" xfId="0" applyFont="1" applyFill="1" applyBorder="1" applyAlignment="1">
      <alignment horizontal="center"/>
    </xf>
    <xf numFmtId="0" fontId="12" fillId="12" borderId="5" xfId="0" applyFont="1" applyFill="1" applyBorder="1" applyAlignment="1">
      <alignment horizontal="center"/>
    </xf>
    <xf numFmtId="0" fontId="12" fillId="12" borderId="16" xfId="0" applyFont="1" applyFill="1" applyBorder="1" applyAlignment="1">
      <alignment horizontal="center"/>
    </xf>
    <xf numFmtId="0" fontId="12" fillId="12" borderId="15" xfId="0" applyFont="1" applyFill="1" applyBorder="1" applyAlignment="1">
      <alignment horizontal="center"/>
    </xf>
    <xf numFmtId="0" fontId="12" fillId="12" borderId="5" xfId="0" applyFont="1" applyFill="1" applyBorder="1"/>
    <xf numFmtId="2" fontId="12" fillId="12" borderId="5" xfId="0" applyNumberFormat="1" applyFont="1" applyFill="1" applyBorder="1" applyAlignment="1">
      <alignment horizontal="center"/>
    </xf>
    <xf numFmtId="2" fontId="12" fillId="12" borderId="14" xfId="0" applyNumberFormat="1" applyFont="1" applyFill="1" applyBorder="1" applyAlignment="1">
      <alignment horizontal="center"/>
    </xf>
    <xf numFmtId="14" fontId="12" fillId="9" borderId="0" xfId="0" applyNumberFormat="1" applyFont="1" applyFill="1" applyBorder="1" applyAlignment="1">
      <alignment horizontal="center" vertical="center"/>
    </xf>
    <xf numFmtId="2" fontId="12" fillId="9" borderId="14" xfId="0" applyNumberFormat="1" applyFont="1" applyFill="1" applyBorder="1" applyAlignment="1">
      <alignment horizontal="center" vertical="center"/>
    </xf>
    <xf numFmtId="2" fontId="0" fillId="12" borderId="5" xfId="0" applyNumberFormat="1" applyFill="1" applyBorder="1"/>
    <xf numFmtId="1" fontId="0" fillId="0" borderId="0" xfId="0" applyNumberFormat="1" applyFill="1" applyBorder="1" applyAlignment="1">
      <alignment horizontal="center"/>
    </xf>
    <xf numFmtId="1" fontId="0" fillId="0" borderId="23" xfId="0" applyNumberFormat="1" applyFill="1" applyBorder="1" applyAlignment="1">
      <alignment horizontal="center"/>
    </xf>
    <xf numFmtId="2" fontId="12" fillId="9" borderId="15" xfId="0" applyNumberFormat="1" applyFont="1" applyFill="1" applyBorder="1" applyAlignment="1">
      <alignment horizontal="center" vertical="center"/>
    </xf>
    <xf numFmtId="2" fontId="5" fillId="0" borderId="2" xfId="0" applyNumberFormat="1" applyFont="1" applyBorder="1" applyAlignment="1">
      <alignment horizontal="center"/>
    </xf>
    <xf numFmtId="2" fontId="5" fillId="0" borderId="7" xfId="0" applyNumberFormat="1" applyFont="1" applyBorder="1" applyAlignment="1">
      <alignment horizontal="center"/>
    </xf>
    <xf numFmtId="2" fontId="12" fillId="0" borderId="0" xfId="0" applyNumberFormat="1" applyFont="1" applyFill="1" applyBorder="1" applyAlignment="1">
      <alignment horizontal="center"/>
    </xf>
    <xf numFmtId="14" fontId="2" fillId="4" borderId="2" xfId="0" applyNumberFormat="1" applyFont="1" applyFill="1" applyBorder="1" applyAlignment="1">
      <alignment horizontal="center"/>
    </xf>
    <xf numFmtId="14" fontId="5" fillId="3" borderId="0" xfId="0" applyNumberFormat="1" applyFont="1" applyFill="1" applyBorder="1"/>
    <xf numFmtId="14" fontId="5" fillId="3" borderId="7" xfId="0" applyNumberFormat="1" applyFont="1" applyFill="1" applyBorder="1"/>
    <xf numFmtId="2" fontId="0" fillId="0" borderId="0" xfId="0" applyNumberFormat="1" applyFill="1" applyBorder="1"/>
    <xf numFmtId="2" fontId="12" fillId="0" borderId="0" xfId="0" applyNumberFormat="1" applyFont="1" applyFill="1" applyBorder="1"/>
    <xf numFmtId="2" fontId="12" fillId="12" borderId="15" xfId="0" applyNumberFormat="1" applyFont="1" applyFill="1" applyBorder="1" applyAlignment="1">
      <alignment horizontal="center"/>
    </xf>
    <xf numFmtId="2" fontId="0" fillId="0" borderId="5" xfId="0" applyNumberFormat="1" applyBorder="1" applyAlignment="1">
      <alignment horizontal="center"/>
    </xf>
    <xf numFmtId="2" fontId="12" fillId="0" borderId="5" xfId="0" applyNumberFormat="1" applyFont="1" applyBorder="1" applyAlignment="1">
      <alignment horizontal="center"/>
    </xf>
    <xf numFmtId="2" fontId="12" fillId="5" borderId="16" xfId="0" applyNumberFormat="1" applyFont="1" applyFill="1" applyBorder="1" applyAlignment="1">
      <alignment horizontal="center"/>
    </xf>
    <xf numFmtId="2" fontId="12" fillId="12" borderId="16" xfId="0" applyNumberFormat="1" applyFont="1" applyFill="1" applyBorder="1" applyAlignment="1">
      <alignment horizontal="center"/>
    </xf>
    <xf numFmtId="2" fontId="12" fillId="9" borderId="16" xfId="0" applyNumberFormat="1" applyFont="1" applyFill="1" applyBorder="1" applyAlignment="1">
      <alignment horizontal="center" vertical="center"/>
    </xf>
    <xf numFmtId="0" fontId="2" fillId="0" borderId="2" xfId="1" applyFont="1" applyBorder="1" applyAlignment="1" applyProtection="1">
      <alignment horizontal="right"/>
    </xf>
    <xf numFmtId="0" fontId="2" fillId="0" borderId="0" xfId="2" applyFont="1" applyProtection="1"/>
    <xf numFmtId="1" fontId="29" fillId="0" borderId="2" xfId="3" applyNumberFormat="1" applyFont="1" applyBorder="1" applyAlignment="1" applyProtection="1">
      <alignment horizontal="left"/>
      <protection locked="0"/>
    </xf>
    <xf numFmtId="1" fontId="29" fillId="0" borderId="2" xfId="3" applyNumberFormat="1" applyFont="1" applyBorder="1" applyAlignment="1" applyProtection="1">
      <alignment horizontal="left"/>
    </xf>
    <xf numFmtId="166" fontId="11" fillId="0" borderId="2" xfId="4" applyFont="1" applyBorder="1"/>
    <xf numFmtId="1" fontId="2" fillId="0" borderId="2" xfId="5" applyNumberFormat="1" applyFont="1" applyBorder="1" applyAlignment="1" applyProtection="1">
      <alignment horizontal="right"/>
    </xf>
    <xf numFmtId="1" fontId="11" fillId="0" borderId="2" xfId="5" applyNumberFormat="1" applyFont="1" applyBorder="1" applyAlignment="1" applyProtection="1">
      <alignment horizontal="center"/>
      <protection locked="0"/>
    </xf>
    <xf numFmtId="166" fontId="11" fillId="0" borderId="2" xfId="4" applyFont="1" applyFill="1" applyBorder="1" applyAlignment="1" applyProtection="1">
      <alignment horizontal="center"/>
    </xf>
    <xf numFmtId="0" fontId="18" fillId="0" borderId="0" xfId="2" applyFont="1" applyProtection="1"/>
    <xf numFmtId="0" fontId="18" fillId="0" borderId="0" xfId="2" applyFont="1" applyBorder="1" applyProtection="1"/>
    <xf numFmtId="2" fontId="18" fillId="0" borderId="0" xfId="2" applyNumberFormat="1" applyFont="1" applyProtection="1"/>
    <xf numFmtId="0" fontId="2" fillId="0" borderId="0" xfId="1" applyFont="1" applyBorder="1" applyAlignment="1" applyProtection="1">
      <alignment horizontal="right"/>
    </xf>
    <xf numFmtId="1" fontId="29" fillId="0" borderId="0" xfId="3" applyNumberFormat="1" applyFont="1" applyBorder="1" applyAlignment="1" applyProtection="1">
      <alignment horizontal="left"/>
      <protection locked="0"/>
    </xf>
    <xf numFmtId="1" fontId="29" fillId="0" borderId="0" xfId="3" applyNumberFormat="1" applyFont="1" applyBorder="1" applyAlignment="1" applyProtection="1">
      <alignment horizontal="left"/>
    </xf>
    <xf numFmtId="166" fontId="11" fillId="0" borderId="0" xfId="4" applyFont="1" applyBorder="1"/>
    <xf numFmtId="1" fontId="2" fillId="0" borderId="0" xfId="5" applyNumberFormat="1" applyFont="1" applyBorder="1" applyAlignment="1" applyProtection="1">
      <alignment horizontal="right"/>
    </xf>
    <xf numFmtId="1" fontId="11" fillId="0" borderId="0" xfId="5" applyNumberFormat="1" applyFont="1" applyAlignment="1" applyProtection="1">
      <alignment horizontal="center"/>
    </xf>
    <xf numFmtId="166" fontId="11" fillId="0" borderId="0" xfId="4" applyFont="1" applyFill="1" applyBorder="1" applyAlignment="1" applyProtection="1">
      <alignment horizontal="center"/>
    </xf>
    <xf numFmtId="0" fontId="18" fillId="0" borderId="0" xfId="2" applyFont="1" applyBorder="1" applyAlignment="1" applyProtection="1">
      <alignment horizontal="left"/>
    </xf>
    <xf numFmtId="2" fontId="2" fillId="0" borderId="0" xfId="1" applyNumberFormat="1" applyFont="1" applyBorder="1" applyAlignment="1" applyProtection="1">
      <alignment horizontal="right"/>
    </xf>
    <xf numFmtId="0" fontId="2" fillId="0" borderId="0" xfId="2" applyFont="1" applyBorder="1" applyProtection="1"/>
    <xf numFmtId="0" fontId="11" fillId="0" borderId="0" xfId="5" applyFont="1" applyAlignment="1" applyProtection="1">
      <alignment horizontal="center"/>
    </xf>
    <xf numFmtId="0" fontId="19" fillId="0" borderId="0" xfId="6" applyAlignment="1" applyProtection="1">
      <alignment vertical="top"/>
    </xf>
    <xf numFmtId="0" fontId="19" fillId="0" borderId="0" xfId="6" applyBorder="1" applyAlignment="1" applyProtection="1">
      <alignment vertical="top"/>
    </xf>
    <xf numFmtId="2" fontId="19" fillId="0" borderId="0" xfId="6" applyNumberFormat="1" applyAlignment="1" applyProtection="1">
      <alignment vertical="top"/>
    </xf>
    <xf numFmtId="2" fontId="11" fillId="0" borderId="0" xfId="5" applyNumberFormat="1" applyFont="1" applyAlignment="1" applyProtection="1">
      <alignment horizontal="center"/>
    </xf>
    <xf numFmtId="0" fontId="30" fillId="0" borderId="0" xfId="3" applyFont="1" applyFill="1" applyBorder="1" applyAlignment="1" applyProtection="1">
      <alignment horizontal="left"/>
      <protection locked="0"/>
    </xf>
    <xf numFmtId="0" fontId="10" fillId="0" borderId="0" xfId="7" applyFont="1" applyAlignment="1">
      <alignment horizontal="center"/>
    </xf>
    <xf numFmtId="0" fontId="18" fillId="0" borderId="0" xfId="1" applyBorder="1" applyAlignment="1" applyProtection="1"/>
    <xf numFmtId="0" fontId="18" fillId="0" borderId="0" xfId="1" applyAlignment="1" applyProtection="1"/>
    <xf numFmtId="2" fontId="18" fillId="0" borderId="0" xfId="1" applyNumberFormat="1" applyAlignment="1" applyProtection="1"/>
    <xf numFmtId="0" fontId="2" fillId="0" borderId="0" xfId="6" applyFont="1" applyBorder="1" applyAlignment="1" applyProtection="1">
      <alignment horizontal="right" vertical="top"/>
    </xf>
    <xf numFmtId="0" fontId="11" fillId="0" borderId="0" xfId="6" applyFont="1" applyAlignment="1" applyProtection="1">
      <alignment vertical="top"/>
    </xf>
    <xf numFmtId="1" fontId="29" fillId="0" borderId="0" xfId="6" applyNumberFormat="1" applyFont="1" applyBorder="1" applyAlignment="1" applyProtection="1">
      <alignment vertical="top"/>
      <protection locked="0"/>
    </xf>
    <xf numFmtId="1" fontId="11" fillId="0" borderId="0" xfId="6" applyNumberFormat="1" applyFont="1" applyBorder="1" applyAlignment="1" applyProtection="1">
      <alignment vertical="top"/>
    </xf>
    <xf numFmtId="166" fontId="11" fillId="0" borderId="0" xfId="6" applyNumberFormat="1" applyFont="1" applyBorder="1" applyAlignment="1" applyProtection="1">
      <alignment vertical="top"/>
    </xf>
    <xf numFmtId="2" fontId="11" fillId="0" borderId="0" xfId="6" applyNumberFormat="1" applyFont="1" applyBorder="1" applyAlignment="1" applyProtection="1">
      <alignment vertical="top"/>
    </xf>
    <xf numFmtId="0" fontId="11" fillId="0" borderId="0" xfId="6" applyFont="1" applyBorder="1" applyAlignment="1" applyProtection="1">
      <alignment vertical="top"/>
      <protection locked="0"/>
    </xf>
    <xf numFmtId="0" fontId="18" fillId="0" borderId="0" xfId="1" applyBorder="1" applyAlignment="1" applyProtection="1">
      <alignment horizontal="centerContinuous"/>
    </xf>
    <xf numFmtId="2" fontId="18" fillId="0" borderId="0" xfId="1" applyNumberFormat="1" applyBorder="1" applyAlignment="1" applyProtection="1"/>
    <xf numFmtId="2" fontId="31" fillId="0" borderId="2" xfId="4" applyNumberFormat="1" applyFont="1" applyBorder="1" applyAlignment="1" applyProtection="1">
      <alignment horizontal="centerContinuous"/>
    </xf>
    <xf numFmtId="2" fontId="31" fillId="0" borderId="3" xfId="4" applyNumberFormat="1" applyFont="1" applyBorder="1" applyAlignment="1" applyProtection="1">
      <alignment horizontal="centerContinuous"/>
    </xf>
    <xf numFmtId="0" fontId="32" fillId="0" borderId="12" xfId="2" applyFont="1" applyBorder="1" applyAlignment="1" applyProtection="1">
      <alignment horizontal="right"/>
    </xf>
    <xf numFmtId="0" fontId="31" fillId="0" borderId="4" xfId="1" applyFont="1" applyBorder="1" applyAlignment="1" applyProtection="1">
      <alignment horizontal="centerContinuous"/>
    </xf>
    <xf numFmtId="1" fontId="18" fillId="0" borderId="0" xfId="1" applyNumberFormat="1" applyBorder="1" applyAlignment="1" applyProtection="1">
      <alignment horizontal="centerContinuous"/>
    </xf>
    <xf numFmtId="0" fontId="33" fillId="0" borderId="13" xfId="13" applyFont="1" applyBorder="1" applyAlignment="1" applyProtection="1">
      <alignment horizontal="centerContinuous"/>
    </xf>
    <xf numFmtId="0" fontId="33" fillId="0" borderId="0" xfId="13" applyFont="1" applyBorder="1" applyAlignment="1" applyProtection="1">
      <alignment horizontal="centerContinuous"/>
    </xf>
    <xf numFmtId="0" fontId="33" fillId="0" borderId="14" xfId="13" applyFont="1" applyBorder="1" applyAlignment="1" applyProtection="1">
      <alignment horizontal="centerContinuous"/>
    </xf>
    <xf numFmtId="0" fontId="33" fillId="0" borderId="15" xfId="13" applyFont="1" applyBorder="1" applyAlignment="1" applyProtection="1">
      <alignment horizontal="center"/>
    </xf>
    <xf numFmtId="168" fontId="33" fillId="0" borderId="0" xfId="13" applyNumberFormat="1" applyFont="1" applyBorder="1" applyAlignment="1" applyProtection="1">
      <alignment horizontal="centerContinuous"/>
    </xf>
    <xf numFmtId="168" fontId="33" fillId="0" borderId="13" xfId="13" applyNumberFormat="1" applyFont="1" applyBorder="1" applyAlignment="1" applyProtection="1">
      <alignment horizontal="centerContinuous"/>
    </xf>
    <xf numFmtId="168" fontId="33" fillId="0" borderId="4" xfId="13" applyNumberFormat="1" applyFont="1" applyBorder="1" applyAlignment="1" applyProtection="1">
      <alignment horizontal="centerContinuous"/>
    </xf>
    <xf numFmtId="1" fontId="18" fillId="0" borderId="13" xfId="1" applyNumberFormat="1" applyBorder="1" applyAlignment="1" applyProtection="1">
      <alignment horizontal="centerContinuous"/>
    </xf>
    <xf numFmtId="1" fontId="18" fillId="0" borderId="5" xfId="1" applyNumberFormat="1" applyBorder="1" applyAlignment="1" applyProtection="1">
      <alignment horizontal="centerContinuous"/>
    </xf>
    <xf numFmtId="2" fontId="18" fillId="0" borderId="0" xfId="4" applyNumberFormat="1" applyFont="1" applyBorder="1" applyAlignment="1" applyProtection="1">
      <alignment horizontal="center"/>
    </xf>
    <xf numFmtId="2" fontId="18" fillId="0" borderId="5" xfId="4" applyNumberFormat="1" applyFont="1" applyBorder="1" applyAlignment="1" applyProtection="1">
      <alignment horizontal="center"/>
    </xf>
    <xf numFmtId="0" fontId="32" fillId="0" borderId="16" xfId="1" applyFont="1" applyBorder="1" applyAlignment="1" applyProtection="1">
      <alignment horizontal="right"/>
    </xf>
    <xf numFmtId="0" fontId="18" fillId="0" borderId="5" xfId="1" applyBorder="1" applyAlignment="1" applyProtection="1"/>
    <xf numFmtId="2" fontId="18" fillId="0" borderId="0" xfId="1" applyNumberFormat="1" applyBorder="1" applyAlignment="1" applyProtection="1">
      <alignment horizontal="center" vertical="center" wrapText="1"/>
    </xf>
    <xf numFmtId="0" fontId="18" fillId="0" borderId="0" xfId="1" applyBorder="1" applyAlignment="1" applyProtection="1">
      <alignment vertical="center"/>
    </xf>
    <xf numFmtId="0" fontId="18" fillId="0" borderId="4" xfId="1" applyBorder="1" applyAlignment="1" applyProtection="1"/>
    <xf numFmtId="1" fontId="18" fillId="0" borderId="0" xfId="1" applyNumberFormat="1" applyBorder="1" applyAlignment="1" applyProtection="1"/>
    <xf numFmtId="168" fontId="34" fillId="0" borderId="15" xfId="13" applyNumberFormat="1" applyFont="1" applyBorder="1" applyAlignment="1" applyProtection="1">
      <alignment horizontal="center"/>
    </xf>
    <xf numFmtId="168" fontId="34" fillId="0" borderId="13" xfId="13" applyNumberFormat="1" applyFont="1" applyBorder="1" applyAlignment="1" applyProtection="1">
      <alignment horizontal="center"/>
    </xf>
    <xf numFmtId="168" fontId="34" fillId="0" borderId="4" xfId="13" applyNumberFormat="1" applyFont="1" applyBorder="1" applyAlignment="1" applyProtection="1">
      <alignment horizontal="center"/>
    </xf>
    <xf numFmtId="2" fontId="19" fillId="0" borderId="0" xfId="2" applyNumberFormat="1" applyBorder="1" applyProtection="1"/>
    <xf numFmtId="0" fontId="18" fillId="0" borderId="5" xfId="1" applyBorder="1" applyAlignment="1" applyProtection="1">
      <alignment horizontal="center"/>
    </xf>
    <xf numFmtId="14" fontId="18" fillId="0" borderId="5" xfId="1" applyNumberFormat="1" applyBorder="1" applyAlignment="1" applyProtection="1">
      <alignment horizontal="centerContinuous"/>
    </xf>
    <xf numFmtId="2" fontId="19" fillId="0" borderId="0" xfId="2" applyNumberFormat="1" applyBorder="1" applyAlignment="1" applyProtection="1">
      <alignment horizontal="center" vertical="center" wrapText="1"/>
    </xf>
    <xf numFmtId="0" fontId="19" fillId="0" borderId="0" xfId="2" applyBorder="1" applyAlignment="1" applyProtection="1">
      <alignment vertical="center" wrapText="1"/>
    </xf>
    <xf numFmtId="0" fontId="19" fillId="0" borderId="0" xfId="2" applyAlignment="1" applyProtection="1">
      <alignment vertical="center" wrapText="1"/>
    </xf>
    <xf numFmtId="0" fontId="18" fillId="0" borderId="4" xfId="1" applyBorder="1" applyAlignment="1" applyProtection="1">
      <alignment horizontal="center"/>
    </xf>
    <xf numFmtId="0" fontId="18" fillId="0" borderId="0" xfId="1" applyBorder="1" applyAlignment="1" applyProtection="1">
      <alignment horizontal="center"/>
    </xf>
    <xf numFmtId="167" fontId="18" fillId="0" borderId="0" xfId="8" applyFont="1" applyBorder="1" applyAlignment="1" applyProtection="1">
      <alignment horizontal="center"/>
    </xf>
    <xf numFmtId="0" fontId="34" fillId="0" borderId="13" xfId="13" applyFont="1" applyBorder="1" applyAlignment="1" applyProtection="1"/>
    <xf numFmtId="0" fontId="34" fillId="0" borderId="0" xfId="13" applyFont="1" applyBorder="1" applyAlignment="1" applyProtection="1"/>
    <xf numFmtId="0" fontId="34" fillId="0" borderId="14" xfId="13" applyFont="1" applyBorder="1" applyAlignment="1" applyProtection="1"/>
    <xf numFmtId="168" fontId="34" fillId="0" borderId="0" xfId="13" applyNumberFormat="1" applyFont="1" applyBorder="1" applyAlignment="1" applyProtection="1">
      <alignment horizontal="center"/>
    </xf>
    <xf numFmtId="167" fontId="18" fillId="0" borderId="4" xfId="8" applyFont="1" applyBorder="1" applyAlignment="1" applyProtection="1">
      <alignment horizontal="center"/>
    </xf>
    <xf numFmtId="167" fontId="18" fillId="0" borderId="13" xfId="8" applyFont="1" applyBorder="1" applyAlignment="1" applyProtection="1">
      <alignment horizontal="center"/>
    </xf>
    <xf numFmtId="167" fontId="18" fillId="0" borderId="5" xfId="8" applyFont="1" applyBorder="1" applyAlignment="1" applyProtection="1">
      <alignment horizontal="center"/>
    </xf>
    <xf numFmtId="166" fontId="18" fillId="0" borderId="0" xfId="4" applyFont="1" applyBorder="1" applyAlignment="1" applyProtection="1">
      <alignment horizontal="center"/>
    </xf>
    <xf numFmtId="0" fontId="18" fillId="0" borderId="16" xfId="1" applyBorder="1" applyAlignment="1" applyProtection="1">
      <alignment horizontal="center" vertical="center"/>
    </xf>
    <xf numFmtId="2" fontId="22" fillId="0" borderId="0" xfId="9" applyNumberFormat="1" applyBorder="1" applyAlignment="1" applyProtection="1">
      <alignment horizontal="center" vertical="center"/>
    </xf>
    <xf numFmtId="0" fontId="19" fillId="0" borderId="6" xfId="1" applyFont="1" applyBorder="1" applyAlignment="1" applyProtection="1">
      <alignment horizontal="center" vertical="center"/>
    </xf>
    <xf numFmtId="0" fontId="19" fillId="0" borderId="7" xfId="1" applyFont="1" applyBorder="1" applyAlignment="1" applyProtection="1">
      <alignment horizontal="center" vertical="center"/>
    </xf>
    <xf numFmtId="167" fontId="19" fillId="0" borderId="7" xfId="8" applyFont="1" applyBorder="1" applyAlignment="1" applyProtection="1">
      <alignment horizontal="center" vertical="center"/>
    </xf>
    <xf numFmtId="0" fontId="35" fillId="0" borderId="13" xfId="13" applyFont="1" applyBorder="1" applyAlignment="1" applyProtection="1">
      <alignment horizontal="center"/>
    </xf>
    <xf numFmtId="0" fontId="35" fillId="0" borderId="0" xfId="13" applyFont="1" applyBorder="1" applyAlignment="1" applyProtection="1">
      <alignment horizontal="center"/>
    </xf>
    <xf numFmtId="0" fontId="35" fillId="0" borderId="14" xfId="13" applyFont="1" applyBorder="1" applyAlignment="1" applyProtection="1">
      <alignment horizontal="center"/>
    </xf>
    <xf numFmtId="168" fontId="35" fillId="0" borderId="15" xfId="13" applyNumberFormat="1" applyFont="1" applyBorder="1" applyAlignment="1" applyProtection="1">
      <alignment horizontal="center"/>
    </xf>
    <xf numFmtId="168" fontId="35" fillId="0" borderId="0" xfId="13" applyNumberFormat="1" applyFont="1" applyBorder="1" applyAlignment="1" applyProtection="1">
      <alignment horizontal="center"/>
    </xf>
    <xf numFmtId="168" fontId="35" fillId="0" borderId="13" xfId="13" applyNumberFormat="1" applyFont="1" applyBorder="1" applyAlignment="1" applyProtection="1">
      <alignment horizontal="center"/>
    </xf>
    <xf numFmtId="167" fontId="19" fillId="0" borderId="6" xfId="8" applyFont="1" applyBorder="1" applyAlignment="1" applyProtection="1">
      <alignment horizontal="center" vertical="center"/>
    </xf>
    <xf numFmtId="167" fontId="19" fillId="0" borderId="19" xfId="8" applyFont="1" applyBorder="1" applyAlignment="1" applyProtection="1">
      <alignment horizontal="center" vertical="center"/>
    </xf>
    <xf numFmtId="167" fontId="19" fillId="0" borderId="8" xfId="8" applyFont="1" applyBorder="1" applyAlignment="1" applyProtection="1">
      <alignment horizontal="center" vertical="center"/>
    </xf>
    <xf numFmtId="166" fontId="19" fillId="0" borderId="7" xfId="4" applyFont="1" applyBorder="1" applyAlignment="1" applyProtection="1">
      <alignment horizontal="center" vertical="center"/>
    </xf>
    <xf numFmtId="2" fontId="19" fillId="0" borderId="8" xfId="4" applyNumberFormat="1" applyFont="1" applyBorder="1" applyAlignment="1" applyProtection="1">
      <alignment horizontal="center" vertical="center"/>
    </xf>
    <xf numFmtId="2" fontId="19" fillId="0" borderId="7" xfId="4" applyNumberFormat="1" applyFont="1" applyBorder="1" applyAlignment="1" applyProtection="1">
      <alignment horizontal="center" vertical="center"/>
    </xf>
    <xf numFmtId="0" fontId="19" fillId="0" borderId="20" xfId="2" applyBorder="1" applyAlignment="1" applyProtection="1">
      <alignment vertical="center" wrapText="1"/>
    </xf>
    <xf numFmtId="0" fontId="18" fillId="0" borderId="8" xfId="1" applyBorder="1" applyAlignment="1" applyProtection="1">
      <alignment horizontal="center" vertical="center" wrapText="1"/>
    </xf>
    <xf numFmtId="0" fontId="19" fillId="0" borderId="8" xfId="1" applyFont="1" applyBorder="1" applyAlignment="1" applyProtection="1">
      <alignment horizontal="center" vertical="center"/>
    </xf>
    <xf numFmtId="0" fontId="18" fillId="0" borderId="1" xfId="3" applyFont="1" applyBorder="1" applyAlignment="1" applyProtection="1">
      <alignment horizontal="center" vertical="center" wrapText="1"/>
      <protection locked="0"/>
    </xf>
    <xf numFmtId="0" fontId="19" fillId="0" borderId="2" xfId="3" applyFont="1" applyBorder="1" applyAlignment="1" applyProtection="1">
      <alignment horizontal="center" vertical="center" wrapText="1"/>
      <protection locked="0"/>
    </xf>
    <xf numFmtId="167" fontId="19" fillId="0" borderId="2" xfId="8" applyFont="1" applyBorder="1" applyAlignment="1" applyProtection="1">
      <alignment horizontal="center" vertical="center" wrapText="1"/>
      <protection locked="0"/>
    </xf>
    <xf numFmtId="167" fontId="37" fillId="0" borderId="11" xfId="8" applyFont="1" applyBorder="1" applyAlignment="1" applyProtection="1">
      <alignment horizontal="center" vertical="center" wrapText="1"/>
      <protection locked="0"/>
    </xf>
    <xf numFmtId="167" fontId="37" fillId="0" borderId="2" xfId="8" applyFont="1" applyBorder="1" applyAlignment="1" applyProtection="1">
      <alignment horizontal="center" vertical="center" wrapText="1"/>
      <protection locked="0"/>
    </xf>
    <xf numFmtId="167" fontId="37" fillId="0" borderId="9" xfId="8" applyFont="1" applyBorder="1" applyAlignment="1" applyProtection="1">
      <alignment horizontal="center" vertical="center" wrapText="1"/>
      <protection locked="0"/>
    </xf>
    <xf numFmtId="167" fontId="37" fillId="0" borderId="10" xfId="8" applyFont="1" applyBorder="1" applyAlignment="1" applyProtection="1">
      <alignment horizontal="center" vertical="center" wrapText="1"/>
      <protection locked="0"/>
    </xf>
    <xf numFmtId="167" fontId="37" fillId="0" borderId="29" xfId="8" applyFont="1" applyBorder="1" applyAlignment="1" applyProtection="1">
      <alignment horizontal="center" vertical="center" wrapText="1"/>
      <protection locked="0"/>
    </xf>
    <xf numFmtId="167" fontId="19" fillId="0" borderId="0" xfId="8" applyFont="1" applyBorder="1" applyAlignment="1" applyProtection="1">
      <alignment horizontal="center" vertical="center" wrapText="1"/>
      <protection locked="0"/>
    </xf>
    <xf numFmtId="167" fontId="20" fillId="0" borderId="13" xfId="8" applyFont="1" applyBorder="1" applyAlignment="1" applyProtection="1">
      <alignment horizontal="center" vertical="center" wrapText="1"/>
    </xf>
    <xf numFmtId="167" fontId="20" fillId="0" borderId="0" xfId="8" applyFont="1" applyBorder="1" applyAlignment="1" applyProtection="1">
      <alignment horizontal="center" vertical="center" wrapText="1"/>
    </xf>
    <xf numFmtId="2" fontId="20" fillId="0" borderId="1" xfId="4" applyNumberFormat="1" applyFont="1" applyBorder="1" applyAlignment="1" applyProtection="1">
      <alignment horizontal="center" vertical="center" wrapText="1"/>
    </xf>
    <xf numFmtId="2" fontId="19" fillId="0" borderId="2" xfId="4" applyNumberFormat="1" applyFont="1" applyBorder="1" applyAlignment="1" applyProtection="1">
      <alignment horizontal="center" vertical="center" wrapText="1"/>
    </xf>
    <xf numFmtId="2" fontId="19" fillId="0" borderId="1" xfId="4" applyNumberFormat="1" applyFont="1" applyBorder="1" applyAlignment="1" applyProtection="1">
      <alignment horizontal="center" vertical="center" wrapText="1"/>
    </xf>
    <xf numFmtId="2" fontId="19" fillId="0" borderId="3" xfId="4" applyNumberFormat="1" applyFont="1" applyBorder="1" applyAlignment="1" applyProtection="1">
      <alignment horizontal="center" vertical="center" wrapText="1"/>
    </xf>
    <xf numFmtId="0" fontId="20" fillId="0" borderId="3" xfId="2" applyFont="1" applyBorder="1" applyAlignment="1" applyProtection="1">
      <alignment horizontal="left" vertical="center" wrapText="1"/>
      <protection locked="0"/>
    </xf>
    <xf numFmtId="0" fontId="22" fillId="0" borderId="9" xfId="9" applyNumberFormat="1" applyBorder="1" applyAlignment="1" applyProtection="1">
      <alignment horizontal="center" vertical="center" wrapText="1"/>
      <protection locked="0"/>
    </xf>
    <xf numFmtId="167" fontId="19" fillId="0" borderId="3" xfId="2" applyNumberFormat="1" applyBorder="1" applyAlignment="1" applyProtection="1">
      <alignment horizontal="center" vertical="center" wrapText="1"/>
    </xf>
    <xf numFmtId="2" fontId="20" fillId="0" borderId="0" xfId="10" applyNumberFormat="1" applyBorder="1" applyAlignment="1">
      <alignment horizontal="center" vertical="center" wrapText="1"/>
    </xf>
    <xf numFmtId="0" fontId="19" fillId="0" borderId="4" xfId="3" applyFont="1" applyBorder="1" applyAlignment="1" applyProtection="1">
      <alignment horizontal="center" vertical="center" wrapText="1"/>
      <protection locked="0"/>
    </xf>
    <xf numFmtId="0" fontId="19" fillId="0" borderId="0" xfId="3" applyFont="1" applyBorder="1" applyAlignment="1" applyProtection="1">
      <alignment horizontal="center" vertical="center" wrapText="1"/>
      <protection locked="0"/>
    </xf>
    <xf numFmtId="167" fontId="37" fillId="0" borderId="13" xfId="8" applyFont="1" applyBorder="1" applyAlignment="1" applyProtection="1">
      <alignment horizontal="center" vertical="center" wrapText="1"/>
      <protection locked="0"/>
    </xf>
    <xf numFmtId="167" fontId="37" fillId="0" borderId="0" xfId="8" applyFont="1" applyBorder="1" applyAlignment="1" applyProtection="1">
      <alignment horizontal="center" vertical="center" wrapText="1"/>
      <protection locked="0"/>
    </xf>
    <xf numFmtId="167" fontId="37" fillId="0" borderId="14" xfId="8" applyFont="1" applyBorder="1" applyAlignment="1" applyProtection="1">
      <alignment horizontal="center" vertical="center" wrapText="1"/>
      <protection locked="0"/>
    </xf>
    <xf numFmtId="167" fontId="37" fillId="0" borderId="15" xfId="8" applyFont="1" applyBorder="1" applyAlignment="1" applyProtection="1">
      <alignment horizontal="center" vertical="center" wrapText="1"/>
      <protection locked="0"/>
    </xf>
    <xf numFmtId="167" fontId="37" fillId="0" borderId="25" xfId="8" applyFont="1" applyBorder="1" applyAlignment="1" applyProtection="1">
      <alignment horizontal="center" vertical="center" wrapText="1"/>
      <protection locked="0"/>
    </xf>
    <xf numFmtId="167" fontId="19" fillId="0" borderId="13" xfId="6" applyNumberFormat="1" applyBorder="1" applyAlignment="1" applyProtection="1">
      <alignment horizontal="center" vertical="center" wrapText="1"/>
    </xf>
    <xf numFmtId="167" fontId="19" fillId="0" borderId="0" xfId="6" applyNumberFormat="1" applyBorder="1" applyAlignment="1" applyProtection="1">
      <alignment horizontal="center" vertical="center" wrapText="1"/>
    </xf>
    <xf numFmtId="2" fontId="22" fillId="0" borderId="4" xfId="4" applyNumberFormat="1" applyFont="1" applyBorder="1" applyAlignment="1" applyProtection="1">
      <alignment horizontal="center" vertical="center" wrapText="1"/>
    </xf>
    <xf numFmtId="2" fontId="19" fillId="0" borderId="0" xfId="4" applyNumberFormat="1" applyFont="1" applyBorder="1" applyAlignment="1" applyProtection="1">
      <alignment horizontal="center" vertical="center" wrapText="1"/>
    </xf>
    <xf numFmtId="2" fontId="19" fillId="0" borderId="4" xfId="4" applyNumberFormat="1" applyFont="1" applyBorder="1" applyAlignment="1" applyProtection="1">
      <alignment horizontal="center" vertical="center" wrapText="1"/>
    </xf>
    <xf numFmtId="2" fontId="19" fillId="0" borderId="5" xfId="6" applyNumberFormat="1" applyBorder="1" applyAlignment="1" applyProtection="1">
      <alignment horizontal="center" vertical="center" wrapText="1"/>
    </xf>
    <xf numFmtId="0" fontId="20" fillId="0" borderId="5" xfId="2" applyFont="1" applyBorder="1" applyAlignment="1" applyProtection="1">
      <alignment horizontal="left" vertical="center" wrapText="1"/>
      <protection locked="0"/>
    </xf>
    <xf numFmtId="0" fontId="22" fillId="0" borderId="14" xfId="9" applyNumberFormat="1" applyBorder="1" applyAlignment="1" applyProtection="1">
      <alignment horizontal="center" vertical="center" wrapText="1"/>
      <protection locked="0"/>
    </xf>
    <xf numFmtId="167" fontId="19" fillId="0" borderId="5" xfId="2" applyNumberFormat="1" applyBorder="1" applyAlignment="1" applyProtection="1">
      <alignment horizontal="center" vertical="center"/>
    </xf>
    <xf numFmtId="167" fontId="19" fillId="0" borderId="5" xfId="2" applyNumberFormat="1" applyBorder="1" applyAlignment="1" applyProtection="1">
      <alignment horizontal="center" vertical="center" wrapText="1"/>
    </xf>
    <xf numFmtId="0" fontId="19" fillId="0" borderId="4" xfId="3" applyFont="1" applyFill="1" applyBorder="1" applyAlignment="1" applyProtection="1">
      <alignment horizontal="center" vertical="center" wrapText="1"/>
      <protection locked="0"/>
    </xf>
    <xf numFmtId="0" fontId="19" fillId="0" borderId="5" xfId="2" applyBorder="1" applyAlignment="1" applyProtection="1">
      <alignment horizontal="left" vertical="center" wrapText="1"/>
    </xf>
    <xf numFmtId="2" fontId="19" fillId="0" borderId="0" xfId="10" applyNumberFormat="1" applyFont="1" applyBorder="1" applyAlignment="1">
      <alignment horizontal="center" vertical="center" wrapText="1"/>
    </xf>
    <xf numFmtId="2" fontId="19" fillId="0" borderId="0" xfId="10" applyNumberFormat="1" applyFont="1" applyBorder="1" applyAlignment="1">
      <alignment horizontal="center" vertical="center"/>
    </xf>
    <xf numFmtId="169" fontId="19" fillId="0" borderId="5" xfId="6" applyNumberFormat="1" applyBorder="1" applyAlignment="1" applyProtection="1">
      <alignment horizontal="left" vertical="center" wrapText="1"/>
      <protection locked="0"/>
    </xf>
    <xf numFmtId="0" fontId="19" fillId="0" borderId="0" xfId="2" applyAlignment="1" applyProtection="1">
      <alignment vertical="center"/>
    </xf>
    <xf numFmtId="0" fontId="38" fillId="0" borderId="5" xfId="2" applyNumberFormat="1" applyFont="1" applyBorder="1" applyAlignment="1" applyProtection="1">
      <alignment horizontal="left" vertical="center"/>
    </xf>
    <xf numFmtId="167" fontId="19" fillId="0" borderId="5" xfId="10" applyNumberFormat="1" applyFont="1" applyBorder="1" applyAlignment="1">
      <alignment horizontal="center" vertical="center" wrapText="1"/>
    </xf>
    <xf numFmtId="0" fontId="19" fillId="0" borderId="6" xfId="3" applyFont="1" applyFill="1" applyBorder="1" applyAlignment="1" applyProtection="1">
      <alignment horizontal="center" vertical="center" wrapText="1"/>
      <protection locked="0"/>
    </xf>
    <xf numFmtId="0" fontId="19" fillId="0" borderId="7" xfId="3" applyFont="1" applyBorder="1" applyAlignment="1" applyProtection="1">
      <alignment horizontal="center" vertical="center" wrapText="1"/>
      <protection locked="0"/>
    </xf>
    <xf numFmtId="167" fontId="19" fillId="0" borderId="7" xfId="8" applyFont="1" applyBorder="1" applyAlignment="1" applyProtection="1">
      <alignment horizontal="center" vertical="center" wrapText="1"/>
      <protection locked="0"/>
    </xf>
    <xf numFmtId="167" fontId="19" fillId="0" borderId="19" xfId="8" applyFont="1" applyBorder="1" applyAlignment="1" applyProtection="1">
      <alignment horizontal="center" vertical="center" wrapText="1"/>
      <protection locked="0"/>
    </xf>
    <xf numFmtId="167" fontId="19" fillId="0" borderId="17" xfId="8" applyFont="1" applyBorder="1" applyAlignment="1" applyProtection="1">
      <alignment horizontal="center" vertical="center" wrapText="1"/>
      <protection locked="0"/>
    </xf>
    <xf numFmtId="167" fontId="19" fillId="0" borderId="18" xfId="8" applyFont="1" applyBorder="1" applyAlignment="1" applyProtection="1">
      <alignment horizontal="center" vertical="center" wrapText="1"/>
      <protection locked="0"/>
    </xf>
    <xf numFmtId="167" fontId="19" fillId="0" borderId="30" xfId="8" applyFont="1" applyBorder="1" applyAlignment="1" applyProtection="1">
      <alignment horizontal="center" vertical="center" wrapText="1"/>
      <protection locked="0"/>
    </xf>
    <xf numFmtId="167" fontId="19" fillId="0" borderId="19" xfId="6" applyNumberFormat="1" applyBorder="1" applyAlignment="1" applyProtection="1">
      <alignment horizontal="center" vertical="center" wrapText="1"/>
    </xf>
    <xf numFmtId="167" fontId="19" fillId="0" borderId="7" xfId="6" applyNumberFormat="1" applyBorder="1" applyAlignment="1" applyProtection="1">
      <alignment horizontal="center" vertical="center" wrapText="1"/>
    </xf>
    <xf numFmtId="2" fontId="22" fillId="0" borderId="6" xfId="4" applyNumberFormat="1" applyFont="1" applyBorder="1" applyAlignment="1" applyProtection="1">
      <alignment horizontal="center" vertical="center" wrapText="1"/>
    </xf>
    <xf numFmtId="2" fontId="19" fillId="0" borderId="7" xfId="4" applyNumberFormat="1" applyFont="1" applyBorder="1" applyAlignment="1" applyProtection="1">
      <alignment horizontal="center" vertical="center" wrapText="1"/>
    </xf>
    <xf numFmtId="2" fontId="19" fillId="0" borderId="6" xfId="4" applyNumberFormat="1" applyFont="1" applyBorder="1" applyAlignment="1" applyProtection="1">
      <alignment horizontal="center" vertical="center" wrapText="1"/>
    </xf>
    <xf numFmtId="2" fontId="19" fillId="0" borderId="8" xfId="6" applyNumberFormat="1" applyBorder="1" applyAlignment="1" applyProtection="1">
      <alignment horizontal="center" vertical="center" wrapText="1"/>
    </xf>
    <xf numFmtId="0" fontId="38" fillId="0" borderId="8" xfId="2" applyNumberFormat="1" applyFont="1" applyBorder="1" applyAlignment="1" applyProtection="1">
      <alignment horizontal="left" vertical="center"/>
    </xf>
    <xf numFmtId="167" fontId="19" fillId="0" borderId="5" xfId="10" applyNumberFormat="1" applyFont="1" applyBorder="1" applyAlignment="1">
      <alignment horizontal="center" vertical="center"/>
    </xf>
    <xf numFmtId="2" fontId="19" fillId="0" borderId="0" xfId="2" applyNumberFormat="1" applyBorder="1" applyAlignment="1" applyProtection="1">
      <alignment horizontal="center" vertical="center"/>
    </xf>
    <xf numFmtId="0" fontId="18" fillId="0" borderId="4" xfId="3" applyFont="1" applyFill="1" applyBorder="1" applyAlignment="1" applyProtection="1">
      <alignment horizontal="center" vertical="center" wrapText="1"/>
      <protection locked="0"/>
    </xf>
    <xf numFmtId="167" fontId="19" fillId="0" borderId="13" xfId="8" applyFont="1" applyBorder="1" applyAlignment="1" applyProtection="1">
      <alignment horizontal="center" vertical="center" wrapText="1"/>
      <protection locked="0"/>
    </xf>
    <xf numFmtId="167" fontId="19" fillId="0" borderId="14" xfId="8" applyFont="1" applyBorder="1" applyAlignment="1" applyProtection="1">
      <alignment horizontal="center" vertical="center" wrapText="1"/>
      <protection locked="0"/>
    </xf>
    <xf numFmtId="167" fontId="19" fillId="0" borderId="15" xfId="8" applyFont="1" applyBorder="1" applyAlignment="1" applyProtection="1">
      <alignment horizontal="center" vertical="center" wrapText="1"/>
      <protection locked="0"/>
    </xf>
    <xf numFmtId="167" fontId="19" fillId="0" borderId="25" xfId="8" applyFont="1" applyBorder="1" applyAlignment="1" applyProtection="1">
      <alignment horizontal="center" vertical="center" wrapText="1"/>
      <protection locked="0"/>
    </xf>
    <xf numFmtId="168" fontId="19" fillId="0" borderId="13" xfId="8" applyNumberFormat="1" applyFont="1" applyBorder="1" applyAlignment="1" applyProtection="1">
      <alignment horizontal="center" vertical="center" wrapText="1"/>
      <protection locked="0"/>
    </xf>
    <xf numFmtId="168" fontId="19" fillId="0" borderId="0" xfId="8" applyNumberFormat="1" applyFont="1" applyBorder="1" applyAlignment="1" applyProtection="1">
      <alignment horizontal="center" vertical="center" wrapText="1"/>
      <protection locked="0"/>
    </xf>
    <xf numFmtId="168" fontId="19" fillId="0" borderId="14" xfId="8" applyNumberFormat="1" applyFont="1" applyBorder="1" applyAlignment="1" applyProtection="1">
      <alignment horizontal="center" vertical="center" wrapText="1"/>
      <protection locked="0"/>
    </xf>
    <xf numFmtId="168" fontId="19" fillId="0" borderId="15" xfId="8" applyNumberFormat="1" applyFont="1" applyBorder="1" applyAlignment="1" applyProtection="1">
      <alignment horizontal="center" vertical="center" wrapText="1"/>
      <protection locked="0"/>
    </xf>
    <xf numFmtId="168" fontId="19" fillId="0" borderId="25" xfId="8" applyNumberFormat="1" applyFont="1" applyBorder="1" applyAlignment="1" applyProtection="1">
      <alignment horizontal="center" vertical="center" wrapText="1"/>
      <protection locked="0"/>
    </xf>
    <xf numFmtId="0" fontId="19" fillId="0" borderId="0" xfId="2" applyProtection="1"/>
    <xf numFmtId="4" fontId="19" fillId="0" borderId="0" xfId="2" applyNumberFormat="1" applyBorder="1" applyAlignment="1" applyProtection="1">
      <alignment horizontal="center"/>
    </xf>
    <xf numFmtId="4" fontId="18" fillId="0" borderId="0" xfId="2" applyNumberFormat="1" applyFont="1" applyFill="1" applyBorder="1" applyAlignment="1" applyProtection="1">
      <alignment horizontal="center"/>
    </xf>
    <xf numFmtId="0" fontId="19" fillId="0" borderId="0" xfId="2" applyFill="1" applyProtection="1"/>
    <xf numFmtId="0" fontId="18" fillId="0" borderId="0" xfId="2" applyFont="1" applyFill="1" applyProtection="1"/>
    <xf numFmtId="2" fontId="18" fillId="0" borderId="0" xfId="2" applyNumberFormat="1" applyFont="1" applyFill="1" applyAlignment="1" applyProtection="1">
      <alignment horizontal="center"/>
    </xf>
    <xf numFmtId="2" fontId="19" fillId="0" borderId="0" xfId="2" applyNumberFormat="1" applyFill="1" applyBorder="1" applyAlignment="1" applyProtection="1">
      <alignment horizontal="center"/>
    </xf>
    <xf numFmtId="2" fontId="19" fillId="0" borderId="0" xfId="2" applyNumberFormat="1" applyBorder="1" applyAlignment="1" applyProtection="1">
      <alignment horizontal="center"/>
    </xf>
    <xf numFmtId="2" fontId="19" fillId="0" borderId="0" xfId="2" applyNumberFormat="1" applyAlignment="1" applyProtection="1">
      <alignment horizontal="center"/>
    </xf>
    <xf numFmtId="167" fontId="19" fillId="0" borderId="5" xfId="2" applyNumberFormat="1" applyBorder="1" applyAlignment="1" applyProtection="1">
      <alignment horizontal="center"/>
    </xf>
    <xf numFmtId="0" fontId="18" fillId="0" borderId="2" xfId="2" applyFont="1" applyBorder="1" applyProtection="1"/>
    <xf numFmtId="167" fontId="18" fillId="0" borderId="3" xfId="2" applyNumberFormat="1" applyFont="1" applyFill="1" applyBorder="1" applyAlignment="1" applyProtection="1">
      <alignment horizontal="center"/>
    </xf>
    <xf numFmtId="0" fontId="19" fillId="0" borderId="0" xfId="2" applyBorder="1" applyProtection="1"/>
    <xf numFmtId="0" fontId="39" fillId="14" borderId="4" xfId="3" applyFont="1" applyFill="1" applyBorder="1" applyAlignment="1" applyProtection="1">
      <alignment horizontal="left" vertical="center"/>
      <protection locked="0"/>
    </xf>
    <xf numFmtId="0" fontId="40" fillId="14" borderId="0" xfId="3" applyFont="1" applyFill="1" applyBorder="1" applyAlignment="1" applyProtection="1">
      <alignment horizontal="center" vertical="center" wrapText="1"/>
      <protection locked="0"/>
    </xf>
    <xf numFmtId="167" fontId="40" fillId="14" borderId="0" xfId="8" applyFont="1" applyFill="1" applyBorder="1" applyAlignment="1" applyProtection="1">
      <alignment horizontal="center" vertical="center" wrapText="1"/>
      <protection locked="0"/>
    </xf>
    <xf numFmtId="167" fontId="40" fillId="14" borderId="15" xfId="8" applyFont="1" applyFill="1" applyBorder="1" applyAlignment="1" applyProtection="1">
      <alignment horizontal="center" vertical="center" wrapText="1"/>
      <protection locked="0"/>
    </xf>
    <xf numFmtId="167" fontId="40" fillId="14" borderId="25" xfId="8" applyFont="1" applyFill="1" applyBorder="1" applyAlignment="1" applyProtection="1">
      <alignment horizontal="center" vertical="center" wrapText="1"/>
      <protection locked="0"/>
    </xf>
    <xf numFmtId="167" fontId="19" fillId="14" borderId="13" xfId="6" applyNumberFormat="1" applyFill="1" applyBorder="1" applyAlignment="1" applyProtection="1">
      <alignment horizontal="center" vertical="center" wrapText="1"/>
    </xf>
    <xf numFmtId="167" fontId="19" fillId="14" borderId="0" xfId="6" applyNumberFormat="1" applyFill="1" applyBorder="1" applyAlignment="1" applyProtection="1">
      <alignment horizontal="center" vertical="center" wrapText="1"/>
    </xf>
    <xf numFmtId="2" fontId="22" fillId="14" borderId="4" xfId="4" applyNumberFormat="1" applyFont="1" applyFill="1" applyBorder="1" applyAlignment="1" applyProtection="1">
      <alignment horizontal="center" vertical="center" wrapText="1"/>
    </xf>
    <xf numFmtId="2" fontId="19" fillId="14" borderId="0" xfId="4" applyNumberFormat="1" applyFont="1" applyFill="1" applyBorder="1" applyAlignment="1" applyProtection="1">
      <alignment horizontal="center" vertical="center" wrapText="1"/>
    </xf>
    <xf numFmtId="2" fontId="19" fillId="14" borderId="4" xfId="4" applyNumberFormat="1" applyFont="1" applyFill="1" applyBorder="1" applyAlignment="1" applyProtection="1">
      <alignment horizontal="center" vertical="center" wrapText="1"/>
    </xf>
    <xf numFmtId="2" fontId="19" fillId="14" borderId="5" xfId="6" applyNumberFormat="1" applyFill="1" applyBorder="1" applyAlignment="1" applyProtection="1">
      <alignment horizontal="center" vertical="center" wrapText="1"/>
    </xf>
    <xf numFmtId="0" fontId="38" fillId="14" borderId="5" xfId="2" applyNumberFormat="1" applyFont="1" applyFill="1" applyBorder="1" applyAlignment="1" applyProtection="1">
      <alignment horizontal="left" vertical="center"/>
    </xf>
    <xf numFmtId="0" fontId="20" fillId="14" borderId="4" xfId="3" applyFill="1" applyBorder="1" applyAlignment="1" applyProtection="1">
      <alignment horizontal="center" vertical="center"/>
    </xf>
    <xf numFmtId="0" fontId="20" fillId="14" borderId="0" xfId="3" applyFill="1" applyBorder="1" applyAlignment="1" applyProtection="1">
      <alignment horizontal="center" vertical="center"/>
    </xf>
    <xf numFmtId="167" fontId="20" fillId="14" borderId="0" xfId="8" applyFont="1" applyFill="1" applyBorder="1" applyAlignment="1" applyProtection="1">
      <alignment horizontal="center" vertical="center"/>
    </xf>
    <xf numFmtId="167" fontId="20" fillId="14" borderId="15" xfId="8" applyFont="1" applyFill="1" applyBorder="1" applyAlignment="1" applyProtection="1">
      <alignment horizontal="center" vertical="center"/>
    </xf>
    <xf numFmtId="167" fontId="20" fillId="14" borderId="25" xfId="8" applyFont="1" applyFill="1" applyBorder="1" applyAlignment="1" applyProtection="1">
      <alignment horizontal="center" vertical="center"/>
    </xf>
    <xf numFmtId="167" fontId="19" fillId="14" borderId="13" xfId="6" applyNumberFormat="1" applyFill="1" applyBorder="1" applyAlignment="1" applyProtection="1">
      <alignment horizontal="center" vertical="center"/>
    </xf>
    <xf numFmtId="167" fontId="19" fillId="14" borderId="0" xfId="6" applyNumberFormat="1" applyFill="1" applyBorder="1" applyAlignment="1" applyProtection="1">
      <alignment horizontal="center" vertical="center"/>
    </xf>
    <xf numFmtId="2" fontId="20" fillId="14" borderId="4" xfId="4" applyNumberFormat="1" applyFont="1" applyFill="1" applyBorder="1" applyAlignment="1" applyProtection="1">
      <alignment horizontal="center" vertical="center"/>
    </xf>
    <xf numFmtId="2" fontId="19" fillId="14" borderId="0" xfId="4" applyNumberFormat="1" applyFont="1" applyFill="1" applyBorder="1" applyAlignment="1" applyProtection="1">
      <alignment horizontal="center" vertical="center"/>
    </xf>
    <xf numFmtId="2" fontId="19" fillId="14" borderId="4" xfId="4" applyNumberFormat="1" applyFont="1" applyFill="1" applyBorder="1" applyAlignment="1" applyProtection="1">
      <alignment horizontal="center" vertical="center"/>
    </xf>
    <xf numFmtId="2" fontId="19" fillId="14" borderId="5" xfId="4" applyNumberFormat="1" applyFont="1" applyFill="1" applyBorder="1" applyAlignment="1" applyProtection="1">
      <alignment horizontal="center" vertical="center"/>
    </xf>
    <xf numFmtId="0" fontId="19" fillId="14" borderId="5" xfId="2" applyFill="1" applyBorder="1" applyAlignment="1" applyProtection="1">
      <alignment horizontal="left" vertical="center"/>
    </xf>
    <xf numFmtId="0" fontId="20" fillId="14" borderId="6" xfId="3" applyFill="1" applyBorder="1" applyAlignment="1" applyProtection="1">
      <alignment horizontal="center" vertical="center"/>
    </xf>
    <xf numFmtId="0" fontId="20" fillId="14" borderId="7" xfId="3" applyFill="1" applyBorder="1" applyAlignment="1" applyProtection="1">
      <alignment horizontal="center" vertical="center"/>
    </xf>
    <xf numFmtId="167" fontId="20" fillId="14" borderId="7" xfId="8" applyFont="1" applyFill="1" applyBorder="1" applyAlignment="1" applyProtection="1">
      <alignment horizontal="center" vertical="center"/>
    </xf>
    <xf numFmtId="167" fontId="20" fillId="14" borderId="18" xfId="8" applyFont="1" applyFill="1" applyBorder="1" applyAlignment="1" applyProtection="1">
      <alignment horizontal="center" vertical="center"/>
    </xf>
    <xf numFmtId="167" fontId="20" fillId="14" borderId="30" xfId="8" applyFont="1" applyFill="1" applyBorder="1" applyAlignment="1" applyProtection="1">
      <alignment horizontal="center" vertical="center"/>
    </xf>
    <xf numFmtId="167" fontId="19" fillId="14" borderId="19" xfId="6" applyNumberFormat="1" applyFill="1" applyBorder="1" applyAlignment="1" applyProtection="1">
      <alignment horizontal="center" vertical="center"/>
    </xf>
    <xf numFmtId="167" fontId="19" fillId="14" borderId="7" xfId="6" applyNumberFormat="1" applyFill="1" applyBorder="1" applyAlignment="1" applyProtection="1">
      <alignment horizontal="center" vertical="center"/>
    </xf>
    <xf numFmtId="2" fontId="20" fillId="14" borderId="6" xfId="4" applyNumberFormat="1" applyFont="1" applyFill="1" applyBorder="1" applyAlignment="1" applyProtection="1">
      <alignment horizontal="center" vertical="center"/>
    </xf>
    <xf numFmtId="2" fontId="19" fillId="14" borderId="7" xfId="4" applyNumberFormat="1" applyFont="1" applyFill="1" applyBorder="1" applyAlignment="1" applyProtection="1">
      <alignment horizontal="center" vertical="center"/>
    </xf>
    <xf numFmtId="2" fontId="19" fillId="14" borderId="6" xfId="4" applyNumberFormat="1" applyFont="1" applyFill="1" applyBorder="1" applyAlignment="1" applyProtection="1">
      <alignment horizontal="center" vertical="center"/>
    </xf>
    <xf numFmtId="2" fontId="19" fillId="14" borderId="8" xfId="4" applyNumberFormat="1" applyFont="1" applyFill="1" applyBorder="1" applyAlignment="1" applyProtection="1">
      <alignment horizontal="center" vertical="center"/>
    </xf>
    <xf numFmtId="0" fontId="19" fillId="14" borderId="8" xfId="2" applyFill="1" applyBorder="1" applyAlignment="1" applyProtection="1">
      <alignment horizontal="left" vertical="center"/>
    </xf>
    <xf numFmtId="0" fontId="18" fillId="0" borderId="7" xfId="2" applyFont="1" applyBorder="1" applyAlignment="1" applyProtection="1">
      <alignment horizontal="left"/>
    </xf>
    <xf numFmtId="167" fontId="19" fillId="0" borderId="8" xfId="2" applyNumberFormat="1" applyBorder="1" applyAlignment="1" applyProtection="1">
      <alignment horizontal="center"/>
    </xf>
    <xf numFmtId="0" fontId="20" fillId="0" borderId="0" xfId="3" applyBorder="1" applyAlignment="1" applyProtection="1">
      <alignment horizontal="center"/>
    </xf>
    <xf numFmtId="167" fontId="20" fillId="0" borderId="0" xfId="8" applyFont="1" applyBorder="1" applyAlignment="1" applyProtection="1">
      <alignment horizontal="center"/>
    </xf>
    <xf numFmtId="167" fontId="19" fillId="0" borderId="0" xfId="6" applyNumberFormat="1" applyBorder="1" applyAlignment="1" applyProtection="1">
      <alignment horizontal="center"/>
    </xf>
    <xf numFmtId="166" fontId="20" fillId="0" borderId="0" xfId="4" applyFont="1" applyBorder="1" applyAlignment="1" applyProtection="1">
      <alignment horizontal="center"/>
    </xf>
    <xf numFmtId="2" fontId="19" fillId="0" borderId="0" xfId="4" applyNumberFormat="1" applyFont="1" applyBorder="1" applyAlignment="1" applyProtection="1">
      <alignment horizontal="center"/>
    </xf>
    <xf numFmtId="166" fontId="19" fillId="0" borderId="0" xfId="4" applyFont="1" applyBorder="1" applyAlignment="1" applyProtection="1">
      <alignment horizontal="center"/>
    </xf>
    <xf numFmtId="167" fontId="19" fillId="0" borderId="0" xfId="8" applyFont="1" applyAlignment="1" applyProtection="1">
      <alignment horizontal="center"/>
    </xf>
    <xf numFmtId="0" fontId="19" fillId="0" borderId="0" xfId="2" applyBorder="1" applyAlignment="1" applyProtection="1">
      <alignment horizontal="left"/>
    </xf>
    <xf numFmtId="0" fontId="18" fillId="0" borderId="0" xfId="2" applyFont="1" applyAlignment="1" applyProtection="1">
      <alignment horizontal="right"/>
    </xf>
    <xf numFmtId="2" fontId="19" fillId="0" borderId="0" xfId="2" applyNumberFormat="1" applyProtection="1"/>
    <xf numFmtId="1" fontId="19" fillId="0" borderId="0" xfId="2" applyNumberFormat="1" applyBorder="1" applyProtection="1"/>
    <xf numFmtId="0" fontId="19" fillId="0" borderId="0" xfId="2" applyBorder="1" applyAlignment="1" applyProtection="1">
      <alignment horizontal="center"/>
    </xf>
    <xf numFmtId="166" fontId="19" fillId="0" borderId="0" xfId="4" applyFont="1" applyAlignment="1" applyProtection="1">
      <alignment horizontal="center"/>
    </xf>
    <xf numFmtId="0" fontId="19" fillId="0" borderId="0" xfId="2" applyAlignment="1" applyProtection="1">
      <alignment horizontal="center"/>
    </xf>
    <xf numFmtId="166" fontId="18" fillId="0" borderId="0" xfId="4" applyFont="1" applyAlignment="1" applyProtection="1">
      <alignment horizontal="center"/>
    </xf>
    <xf numFmtId="2" fontId="19" fillId="0" borderId="0" xfId="4" applyNumberFormat="1" applyFont="1" applyAlignment="1" applyProtection="1">
      <alignment horizontal="center"/>
    </xf>
    <xf numFmtId="1" fontId="19" fillId="0" borderId="0" xfId="2" applyNumberFormat="1" applyProtection="1"/>
    <xf numFmtId="0" fontId="12" fillId="11" borderId="0" xfId="0" applyFont="1" applyFill="1" applyBorder="1" applyAlignment="1">
      <alignment horizontal="center"/>
    </xf>
    <xf numFmtId="2" fontId="12" fillId="11" borderId="0" xfId="0" applyNumberFormat="1" applyFont="1" applyFill="1" applyBorder="1" applyAlignment="1">
      <alignment horizontal="center"/>
    </xf>
    <xf numFmtId="0" fontId="28" fillId="11" borderId="0" xfId="0" applyFont="1" applyFill="1" applyBorder="1" applyAlignment="1">
      <alignment horizontal="center"/>
    </xf>
    <xf numFmtId="14" fontId="12" fillId="11" borderId="0" xfId="0" applyNumberFormat="1" applyFont="1" applyFill="1" applyBorder="1" applyAlignment="1">
      <alignment horizontal="center"/>
    </xf>
    <xf numFmtId="0" fontId="12" fillId="11" borderId="0" xfId="0" applyFont="1" applyFill="1" applyBorder="1" applyAlignment="1">
      <alignment horizontal="center" vertical="center"/>
    </xf>
    <xf numFmtId="2" fontId="12" fillId="11" borderId="0" xfId="0" applyNumberFormat="1" applyFont="1" applyFill="1" applyBorder="1" applyAlignment="1">
      <alignment horizontal="center" vertical="center"/>
    </xf>
    <xf numFmtId="0" fontId="0" fillId="11" borderId="0" xfId="0" applyFill="1" applyBorder="1" applyAlignment="1">
      <alignment horizontal="center" vertical="center"/>
    </xf>
    <xf numFmtId="14" fontId="12" fillId="11" borderId="0" xfId="0" applyNumberFormat="1" applyFont="1" applyFill="1" applyBorder="1" applyAlignment="1">
      <alignment horizontal="center" vertical="center"/>
    </xf>
    <xf numFmtId="0" fontId="31" fillId="0" borderId="2" xfId="1" applyFont="1" applyBorder="1" applyAlignment="1" applyProtection="1">
      <alignment horizontal="center"/>
    </xf>
    <xf numFmtId="1" fontId="31" fillId="0" borderId="2" xfId="3" applyNumberFormat="1" applyFont="1" applyBorder="1" applyAlignment="1" applyProtection="1">
      <alignment horizontal="centerContinuous"/>
    </xf>
    <xf numFmtId="1" fontId="42" fillId="0" borderId="2" xfId="3" applyNumberFormat="1" applyFont="1" applyBorder="1" applyAlignment="1" applyProtection="1">
      <alignment horizontal="centerContinuous"/>
    </xf>
    <xf numFmtId="2" fontId="31" fillId="0" borderId="1" xfId="4" applyNumberFormat="1" applyFont="1" applyBorder="1" applyAlignment="1" applyProtection="1">
      <alignment horizontal="centerContinuous"/>
    </xf>
    <xf numFmtId="0" fontId="32" fillId="0" borderId="3" xfId="2" applyFont="1" applyBorder="1" applyAlignment="1" applyProtection="1">
      <alignment horizontal="right"/>
    </xf>
    <xf numFmtId="168" fontId="33" fillId="0" borderId="25" xfId="13" applyNumberFormat="1" applyFont="1" applyBorder="1" applyAlignment="1" applyProtection="1">
      <alignment horizontal="centerContinuous"/>
    </xf>
    <xf numFmtId="2" fontId="18" fillId="0" borderId="4" xfId="4" applyNumberFormat="1" applyFont="1" applyBorder="1" applyAlignment="1" applyProtection="1">
      <alignment horizontal="center"/>
    </xf>
    <xf numFmtId="0" fontId="32" fillId="0" borderId="5" xfId="1" applyFont="1" applyBorder="1" applyAlignment="1" applyProtection="1">
      <alignment horizontal="right"/>
    </xf>
    <xf numFmtId="2" fontId="19" fillId="0" borderId="4" xfId="2" applyNumberFormat="1" applyBorder="1" applyProtection="1"/>
    <xf numFmtId="2" fontId="19" fillId="0" borderId="5" xfId="2" applyNumberFormat="1" applyBorder="1" applyProtection="1"/>
    <xf numFmtId="0" fontId="19" fillId="0" borderId="4" xfId="1" applyFont="1" applyBorder="1" applyAlignment="1" applyProtection="1">
      <alignment horizontal="center" vertical="center"/>
    </xf>
    <xf numFmtId="0" fontId="19" fillId="0" borderId="0" xfId="1" applyFont="1" applyBorder="1" applyAlignment="1" applyProtection="1">
      <alignment horizontal="center" vertical="center"/>
    </xf>
    <xf numFmtId="167" fontId="19" fillId="0" borderId="0" xfId="8" applyFont="1" applyBorder="1" applyAlignment="1" applyProtection="1">
      <alignment horizontal="center" vertical="center"/>
    </xf>
    <xf numFmtId="168" fontId="35" fillId="0" borderId="25" xfId="13" applyNumberFormat="1" applyFont="1" applyBorder="1" applyAlignment="1" applyProtection="1">
      <alignment horizontal="center"/>
    </xf>
    <xf numFmtId="168" fontId="35" fillId="0" borderId="7" xfId="13" applyNumberFormat="1" applyFont="1" applyBorder="1" applyAlignment="1" applyProtection="1">
      <alignment horizontal="center"/>
    </xf>
    <xf numFmtId="2" fontId="19" fillId="0" borderId="6" xfId="4" applyNumberFormat="1" applyFont="1" applyBorder="1" applyAlignment="1" applyProtection="1">
      <alignment horizontal="center" vertical="center"/>
    </xf>
    <xf numFmtId="0" fontId="19" fillId="0" borderId="8" xfId="2" applyBorder="1" applyAlignment="1" applyProtection="1">
      <alignment vertical="center" wrapText="1"/>
    </xf>
    <xf numFmtId="167" fontId="20" fillId="0" borderId="11" xfId="8" applyFont="1" applyBorder="1" applyAlignment="1" applyProtection="1">
      <alignment horizontal="center" vertical="center" wrapText="1"/>
    </xf>
    <xf numFmtId="167" fontId="20" fillId="0" borderId="2" xfId="8" applyFont="1" applyBorder="1" applyAlignment="1" applyProtection="1">
      <alignment horizontal="center" vertical="center" wrapText="1"/>
    </xf>
    <xf numFmtId="2" fontId="19" fillId="0" borderId="12" xfId="4" applyNumberFormat="1" applyFont="1" applyBorder="1" applyAlignment="1" applyProtection="1">
      <alignment horizontal="center" vertical="center" wrapText="1"/>
    </xf>
    <xf numFmtId="2" fontId="19" fillId="0" borderId="5" xfId="4" applyNumberFormat="1" applyFont="1" applyBorder="1" applyAlignment="1" applyProtection="1">
      <alignment horizontal="center" vertical="center" wrapText="1"/>
    </xf>
    <xf numFmtId="2" fontId="19" fillId="0" borderId="16" xfId="6" applyNumberFormat="1" applyBorder="1" applyAlignment="1" applyProtection="1">
      <alignment horizontal="center" vertical="center" wrapText="1"/>
    </xf>
    <xf numFmtId="2" fontId="19" fillId="0" borderId="20" xfId="6" applyNumberFormat="1" applyBorder="1" applyAlignment="1" applyProtection="1">
      <alignment horizontal="center" vertical="center" wrapText="1"/>
    </xf>
    <xf numFmtId="14" fontId="2" fillId="0" borderId="0" xfId="2" applyNumberFormat="1" applyFont="1" applyBorder="1" applyProtection="1"/>
    <xf numFmtId="168" fontId="34" fillId="0" borderId="13" xfId="13" applyNumberFormat="1" applyFont="1" applyBorder="1" applyAlignment="1" applyProtection="1">
      <alignment horizontal="center"/>
    </xf>
    <xf numFmtId="168" fontId="34" fillId="0" borderId="0" xfId="13" applyNumberFormat="1" applyFont="1" applyBorder="1" applyAlignment="1" applyProtection="1">
      <alignment horizontal="center"/>
    </xf>
    <xf numFmtId="2" fontId="19" fillId="0" borderId="16" xfId="2" applyNumberFormat="1" applyBorder="1" applyProtection="1"/>
    <xf numFmtId="0" fontId="2" fillId="0" borderId="1" xfId="1" applyFont="1" applyBorder="1" applyAlignment="1" applyProtection="1">
      <alignment horizontal="right"/>
    </xf>
    <xf numFmtId="0" fontId="2" fillId="0" borderId="2" xfId="2" applyFont="1" applyBorder="1" applyProtection="1"/>
    <xf numFmtId="0" fontId="18" fillId="0" borderId="3" xfId="2" applyFont="1" applyBorder="1" applyProtection="1"/>
    <xf numFmtId="0" fontId="2" fillId="0" borderId="4" xfId="1" applyFont="1" applyBorder="1" applyAlignment="1" applyProtection="1">
      <alignment horizontal="right"/>
    </xf>
    <xf numFmtId="1" fontId="11" fillId="0" borderId="0" xfId="5" applyNumberFormat="1" applyFont="1" applyBorder="1" applyAlignment="1" applyProtection="1">
      <alignment horizontal="center"/>
    </xf>
    <xf numFmtId="0" fontId="18" fillId="0" borderId="5" xfId="2" applyFont="1" applyBorder="1" applyProtection="1"/>
    <xf numFmtId="2" fontId="2" fillId="0" borderId="4" xfId="1" applyNumberFormat="1" applyFont="1" applyBorder="1" applyAlignment="1" applyProtection="1">
      <alignment horizontal="right"/>
    </xf>
    <xf numFmtId="2" fontId="11" fillId="0" borderId="0" xfId="5" applyNumberFormat="1" applyFont="1" applyBorder="1" applyAlignment="1" applyProtection="1">
      <alignment horizontal="center"/>
    </xf>
    <xf numFmtId="0" fontId="19" fillId="0" borderId="5" xfId="6" applyBorder="1" applyAlignment="1" applyProtection="1">
      <alignment vertical="top"/>
    </xf>
    <xf numFmtId="0" fontId="2" fillId="0" borderId="6" xfId="6" applyFont="1" applyBorder="1" applyAlignment="1" applyProtection="1">
      <alignment horizontal="right" vertical="top"/>
    </xf>
    <xf numFmtId="0" fontId="11" fillId="0" borderId="7" xfId="6" applyFont="1" applyBorder="1" applyAlignment="1" applyProtection="1">
      <alignment vertical="top"/>
    </xf>
    <xf numFmtId="1" fontId="29" fillId="0" borderId="7" xfId="6" applyNumberFormat="1" applyFont="1" applyBorder="1" applyAlignment="1" applyProtection="1">
      <alignment vertical="top"/>
      <protection locked="0"/>
    </xf>
    <xf numFmtId="1" fontId="11" fillId="0" borderId="7" xfId="6" applyNumberFormat="1" applyFont="1" applyBorder="1" applyAlignment="1" applyProtection="1">
      <alignment vertical="top"/>
    </xf>
    <xf numFmtId="166" fontId="11" fillId="0" borderId="7" xfId="6" applyNumberFormat="1" applyFont="1" applyBorder="1" applyAlignment="1" applyProtection="1">
      <alignment vertical="top"/>
    </xf>
    <xf numFmtId="2" fontId="11" fillId="0" borderId="7" xfId="6" applyNumberFormat="1" applyFont="1" applyBorder="1" applyAlignment="1" applyProtection="1">
      <alignment vertical="top"/>
    </xf>
    <xf numFmtId="0" fontId="11" fillId="0" borderId="7" xfId="6" applyFont="1" applyBorder="1" applyAlignment="1" applyProtection="1">
      <alignment vertical="top"/>
      <protection locked="0"/>
    </xf>
    <xf numFmtId="0" fontId="11" fillId="0" borderId="0" xfId="6" applyFont="1" applyBorder="1" applyAlignment="1" applyProtection="1">
      <alignment vertical="top"/>
    </xf>
    <xf numFmtId="0" fontId="18" fillId="0" borderId="8" xfId="1" applyBorder="1" applyAlignment="1" applyProtection="1">
      <alignment horizontal="centerContinuous"/>
    </xf>
    <xf numFmtId="0" fontId="31" fillId="0" borderId="1" xfId="1" applyFont="1" applyBorder="1" applyAlignment="1" applyProtection="1">
      <alignment horizontal="centerContinuous"/>
    </xf>
    <xf numFmtId="1" fontId="42" fillId="0" borderId="3" xfId="3" applyNumberFormat="1" applyFont="1" applyBorder="1" applyAlignment="1" applyProtection="1">
      <alignment horizontal="centerContinuous"/>
    </xf>
    <xf numFmtId="1" fontId="42" fillId="0" borderId="2" xfId="3" applyNumberFormat="1" applyFont="1" applyBorder="1" applyAlignment="1" applyProtection="1">
      <alignment horizontal="centerContinuous"/>
      <protection locked="0"/>
    </xf>
    <xf numFmtId="1" fontId="42" fillId="0" borderId="3" xfId="3" applyNumberFormat="1" applyFont="1" applyBorder="1" applyAlignment="1" applyProtection="1">
      <alignment horizontal="centerContinuous"/>
      <protection locked="0"/>
    </xf>
    <xf numFmtId="1" fontId="31" fillId="0" borderId="1" xfId="3" applyNumberFormat="1" applyFont="1" applyBorder="1" applyAlignment="1" applyProtection="1">
      <alignment horizontal="centerContinuous"/>
    </xf>
    <xf numFmtId="166" fontId="31" fillId="0" borderId="2" xfId="4" applyFont="1" applyBorder="1" applyAlignment="1" applyProtection="1">
      <alignment horizontal="centerContinuous"/>
    </xf>
    <xf numFmtId="1" fontId="18" fillId="0" borderId="4" xfId="1" applyNumberFormat="1" applyBorder="1" applyAlignment="1" applyProtection="1">
      <alignment horizontal="centerContinuous"/>
    </xf>
    <xf numFmtId="166" fontId="18" fillId="0" borderId="4" xfId="4" applyFont="1" applyBorder="1" applyAlignment="1" applyProtection="1">
      <alignment horizontal="center"/>
    </xf>
    <xf numFmtId="1" fontId="18" fillId="0" borderId="5" xfId="1" applyNumberFormat="1" applyBorder="1" applyAlignment="1" applyProtection="1"/>
    <xf numFmtId="166" fontId="19" fillId="0" borderId="6" xfId="4" applyFont="1" applyBorder="1" applyAlignment="1" applyProtection="1">
      <alignment horizontal="center" vertical="center"/>
    </xf>
    <xf numFmtId="167" fontId="19" fillId="0" borderId="5" xfId="8" applyFont="1" applyBorder="1" applyAlignment="1" applyProtection="1">
      <alignment horizontal="center" vertical="center" wrapText="1"/>
      <protection locked="0"/>
    </xf>
    <xf numFmtId="167" fontId="20" fillId="0" borderId="4" xfId="8" applyFont="1" applyBorder="1" applyAlignment="1" applyProtection="1">
      <alignment horizontal="center" vertical="center" wrapText="1"/>
    </xf>
    <xf numFmtId="167" fontId="20" fillId="0" borderId="5" xfId="8" applyFont="1" applyBorder="1" applyAlignment="1" applyProtection="1">
      <alignment horizontal="center" vertical="center" wrapText="1"/>
    </xf>
    <xf numFmtId="166" fontId="20" fillId="0" borderId="4" xfId="4" applyFont="1" applyBorder="1" applyAlignment="1" applyProtection="1">
      <alignment horizontal="center" vertical="center" wrapText="1"/>
    </xf>
    <xf numFmtId="166" fontId="19" fillId="0" borderId="1" xfId="4" applyFont="1" applyBorder="1" applyAlignment="1" applyProtection="1">
      <alignment horizontal="center" vertical="center" wrapText="1"/>
    </xf>
    <xf numFmtId="166" fontId="19" fillId="0" borderId="3" xfId="4" applyFont="1" applyBorder="1" applyAlignment="1" applyProtection="1">
      <alignment horizontal="center" vertical="center" wrapText="1"/>
    </xf>
    <xf numFmtId="167" fontId="19" fillId="0" borderId="4" xfId="6" applyNumberFormat="1" applyBorder="1" applyAlignment="1" applyProtection="1">
      <alignment horizontal="center" vertical="center" wrapText="1"/>
    </xf>
    <xf numFmtId="167" fontId="19" fillId="0" borderId="5" xfId="6" applyNumberFormat="1" applyBorder="1" applyAlignment="1" applyProtection="1">
      <alignment horizontal="center" vertical="center" wrapText="1"/>
    </xf>
    <xf numFmtId="166" fontId="19" fillId="0" borderId="0" xfId="4" applyFont="1" applyBorder="1" applyAlignment="1" applyProtection="1">
      <alignment horizontal="center" vertical="center" wrapText="1"/>
    </xf>
    <xf numFmtId="166" fontId="19" fillId="0" borderId="4" xfId="4" applyFont="1" applyBorder="1" applyAlignment="1" applyProtection="1">
      <alignment horizontal="center" vertical="center" wrapText="1"/>
    </xf>
    <xf numFmtId="0" fontId="44" fillId="0" borderId="5" xfId="2" applyFont="1" applyBorder="1" applyAlignment="1" applyProtection="1">
      <alignment horizontal="left" vertical="center" wrapText="1"/>
      <protection locked="0"/>
    </xf>
    <xf numFmtId="0" fontId="19" fillId="0" borderId="5" xfId="2" applyBorder="1" applyAlignment="1" applyProtection="1">
      <alignment horizontal="left" vertical="center" wrapText="1"/>
      <protection locked="0"/>
    </xf>
    <xf numFmtId="0" fontId="38" fillId="0" borderId="5" xfId="2" applyFont="1" applyBorder="1" applyAlignment="1" applyProtection="1">
      <alignment horizontal="left" vertical="center"/>
      <protection locked="0"/>
    </xf>
    <xf numFmtId="167" fontId="40" fillId="14" borderId="5" xfId="8" applyFont="1" applyFill="1" applyBorder="1" applyAlignment="1" applyProtection="1">
      <alignment horizontal="center" vertical="center" wrapText="1"/>
      <protection locked="0"/>
    </xf>
    <xf numFmtId="167" fontId="19" fillId="14" borderId="4" xfId="6" applyNumberFormat="1" applyFill="1" applyBorder="1" applyAlignment="1" applyProtection="1">
      <alignment horizontal="center" vertical="center" wrapText="1"/>
    </xf>
    <xf numFmtId="167" fontId="19" fillId="14" borderId="5" xfId="6" applyNumberFormat="1" applyFill="1" applyBorder="1" applyAlignment="1" applyProtection="1">
      <alignment horizontal="center" vertical="center" wrapText="1"/>
    </xf>
    <xf numFmtId="166" fontId="19" fillId="14" borderId="0" xfId="4" applyFont="1" applyFill="1" applyBorder="1" applyAlignment="1" applyProtection="1">
      <alignment horizontal="center" vertical="center" wrapText="1"/>
    </xf>
    <xf numFmtId="166" fontId="19" fillId="14" borderId="4" xfId="4" applyFont="1" applyFill="1" applyBorder="1" applyAlignment="1" applyProtection="1">
      <alignment horizontal="center" vertical="center" wrapText="1"/>
    </xf>
    <xf numFmtId="167" fontId="20" fillId="14" borderId="5" xfId="8" applyFont="1" applyFill="1" applyBorder="1" applyAlignment="1" applyProtection="1">
      <alignment horizontal="center" vertical="center"/>
    </xf>
    <xf numFmtId="167" fontId="19" fillId="14" borderId="4" xfId="6" applyNumberFormat="1" applyFill="1" applyBorder="1" applyAlignment="1" applyProtection="1">
      <alignment horizontal="center" vertical="center"/>
    </xf>
    <xf numFmtId="167" fontId="19" fillId="14" borderId="5" xfId="6" applyNumberFormat="1" applyFill="1" applyBorder="1" applyAlignment="1" applyProtection="1">
      <alignment horizontal="center" vertical="center"/>
    </xf>
    <xf numFmtId="166" fontId="20" fillId="14" borderId="4" xfId="4" applyFont="1" applyFill="1" applyBorder="1" applyAlignment="1" applyProtection="1">
      <alignment horizontal="center" vertical="center"/>
    </xf>
    <xf numFmtId="166" fontId="19" fillId="14" borderId="4" xfId="4" applyFont="1" applyFill="1" applyBorder="1" applyAlignment="1" applyProtection="1">
      <alignment horizontal="center" vertical="center"/>
    </xf>
    <xf numFmtId="166" fontId="19" fillId="14" borderId="5" xfId="4" applyFont="1" applyFill="1" applyBorder="1" applyAlignment="1" applyProtection="1">
      <alignment horizontal="center" vertical="center"/>
    </xf>
    <xf numFmtId="167" fontId="20" fillId="14" borderId="8" xfId="8" applyFont="1" applyFill="1" applyBorder="1" applyAlignment="1" applyProtection="1">
      <alignment horizontal="center" vertical="center"/>
    </xf>
    <xf numFmtId="167" fontId="19" fillId="14" borderId="6" xfId="6" applyNumberFormat="1" applyFill="1" applyBorder="1" applyAlignment="1" applyProtection="1">
      <alignment horizontal="center" vertical="center"/>
    </xf>
    <xf numFmtId="167" fontId="19" fillId="14" borderId="8" xfId="6" applyNumberFormat="1" applyFill="1" applyBorder="1" applyAlignment="1" applyProtection="1">
      <alignment horizontal="center" vertical="center"/>
    </xf>
    <xf numFmtId="166" fontId="20" fillId="14" borderId="6" xfId="4" applyFont="1" applyFill="1" applyBorder="1" applyAlignment="1" applyProtection="1">
      <alignment horizontal="center" vertical="center"/>
    </xf>
    <xf numFmtId="166" fontId="19" fillId="14" borderId="6" xfId="4" applyFont="1" applyFill="1" applyBorder="1" applyAlignment="1" applyProtection="1">
      <alignment horizontal="center" vertical="center"/>
    </xf>
    <xf numFmtId="166" fontId="19" fillId="14" borderId="8" xfId="4" applyFont="1" applyFill="1" applyBorder="1" applyAlignment="1" applyProtection="1">
      <alignment horizontal="center" vertical="center"/>
    </xf>
    <xf numFmtId="2" fontId="12" fillId="8" borderId="0" xfId="0" applyNumberFormat="1" applyFont="1" applyFill="1" applyBorder="1" applyAlignment="1">
      <alignment horizontal="center"/>
    </xf>
    <xf numFmtId="0" fontId="12" fillId="8" borderId="0" xfId="0" applyFont="1" applyFill="1" applyBorder="1"/>
    <xf numFmtId="0" fontId="0" fillId="8" borderId="0" xfId="0" applyFill="1" applyBorder="1"/>
    <xf numFmtId="14" fontId="12" fillId="8" borderId="0" xfId="0" applyNumberFormat="1" applyFont="1" applyFill="1" applyBorder="1" applyAlignment="1">
      <alignment horizontal="center"/>
    </xf>
    <xf numFmtId="0" fontId="12" fillId="13" borderId="0" xfId="0" applyFont="1" applyFill="1" applyBorder="1" applyAlignment="1">
      <alignment horizontal="center"/>
    </xf>
    <xf numFmtId="2" fontId="12" fillId="13" borderId="0" xfId="0" applyNumberFormat="1" applyFont="1" applyFill="1" applyBorder="1" applyAlignment="1">
      <alignment horizontal="center"/>
    </xf>
    <xf numFmtId="0" fontId="12" fillId="13" borderId="0" xfId="0" applyFont="1" applyFill="1" applyBorder="1"/>
    <xf numFmtId="0" fontId="0" fillId="13" borderId="0" xfId="0" applyFill="1" applyBorder="1"/>
    <xf numFmtId="14" fontId="12" fillId="13" borderId="0" xfId="0" applyNumberFormat="1" applyFont="1" applyFill="1" applyBorder="1" applyAlignment="1">
      <alignment horizontal="center"/>
    </xf>
    <xf numFmtId="0" fontId="12" fillId="8" borderId="14" xfId="0" applyFont="1" applyFill="1" applyBorder="1" applyAlignment="1">
      <alignment horizontal="center"/>
    </xf>
    <xf numFmtId="0" fontId="12" fillId="8" borderId="16" xfId="0" applyFont="1" applyFill="1" applyBorder="1" applyAlignment="1">
      <alignment horizontal="center"/>
    </xf>
    <xf numFmtId="0" fontId="12" fillId="8" borderId="5" xfId="0" applyFont="1" applyFill="1" applyBorder="1"/>
    <xf numFmtId="2" fontId="12" fillId="8" borderId="5" xfId="0" applyNumberFormat="1" applyFont="1" applyFill="1" applyBorder="1" applyAlignment="1">
      <alignment horizontal="center"/>
    </xf>
    <xf numFmtId="2" fontId="12" fillId="8" borderId="14" xfId="0" applyNumberFormat="1" applyFont="1" applyFill="1" applyBorder="1" applyAlignment="1">
      <alignment horizontal="center"/>
    </xf>
    <xf numFmtId="2" fontId="5" fillId="0" borderId="0" xfId="0" applyNumberFormat="1" applyFont="1" applyBorder="1" applyAlignment="1">
      <alignment horizontal="center"/>
    </xf>
    <xf numFmtId="0" fontId="12" fillId="12" borderId="14" xfId="0" applyFont="1" applyFill="1" applyBorder="1"/>
    <xf numFmtId="2" fontId="12" fillId="0" borderId="14" xfId="0" applyNumberFormat="1" applyFont="1" applyBorder="1" applyAlignment="1">
      <alignment horizontal="center"/>
    </xf>
    <xf numFmtId="2" fontId="4" fillId="0" borderId="5" xfId="0" applyNumberFormat="1" applyFont="1" applyBorder="1" applyAlignment="1">
      <alignment horizontal="center"/>
    </xf>
    <xf numFmtId="2" fontId="2" fillId="0" borderId="5" xfId="0" applyNumberFormat="1" applyFont="1" applyBorder="1" applyAlignment="1">
      <alignment horizontal="center" vertical="center"/>
    </xf>
    <xf numFmtId="2" fontId="5" fillId="0" borderId="8" xfId="0" applyNumberFormat="1" applyFont="1" applyBorder="1" applyAlignment="1">
      <alignment horizontal="center"/>
    </xf>
    <xf numFmtId="2" fontId="12" fillId="12" borderId="0" xfId="0" applyNumberFormat="1" applyFont="1" applyFill="1" applyBorder="1"/>
    <xf numFmtId="2" fontId="0" fillId="0" borderId="5" xfId="0" applyNumberFormat="1" applyBorder="1"/>
    <xf numFmtId="2" fontId="0" fillId="2" borderId="5" xfId="0" applyNumberFormat="1" applyFill="1" applyBorder="1"/>
    <xf numFmtId="2" fontId="0" fillId="8" borderId="5" xfId="0" applyNumberFormat="1" applyFill="1" applyBorder="1" applyAlignment="1">
      <alignment horizontal="center"/>
    </xf>
    <xf numFmtId="2" fontId="12" fillId="13" borderId="5" xfId="0" applyNumberFormat="1" applyFont="1" applyFill="1" applyBorder="1" applyAlignment="1">
      <alignment horizontal="center"/>
    </xf>
    <xf numFmtId="0" fontId="12" fillId="13" borderId="16" xfId="0" applyFont="1" applyFill="1" applyBorder="1" applyAlignment="1">
      <alignment horizontal="center"/>
    </xf>
    <xf numFmtId="0" fontId="12" fillId="13" borderId="5" xfId="0" applyFont="1" applyFill="1" applyBorder="1" applyAlignment="1">
      <alignment horizontal="center"/>
    </xf>
    <xf numFmtId="0" fontId="12" fillId="13" borderId="5" xfId="0" applyFont="1" applyFill="1" applyBorder="1"/>
    <xf numFmtId="2" fontId="5" fillId="0" borderId="9" xfId="0" applyNumberFormat="1" applyFont="1" applyBorder="1" applyAlignment="1">
      <alignment horizontal="center"/>
    </xf>
    <xf numFmtId="2" fontId="0" fillId="0" borderId="14" xfId="0" applyNumberFormat="1" applyBorder="1"/>
    <xf numFmtId="2" fontId="4" fillId="0" borderId="14" xfId="0" applyNumberFormat="1" applyFont="1" applyBorder="1" applyAlignment="1">
      <alignment horizontal="center"/>
    </xf>
    <xf numFmtId="2" fontId="4" fillId="0" borderId="14" xfId="0" applyNumberFormat="1" applyFont="1" applyBorder="1" applyAlignment="1">
      <alignment horizontal="center" vertical="center"/>
    </xf>
    <xf numFmtId="2" fontId="5" fillId="0" borderId="17" xfId="0" applyNumberFormat="1" applyFont="1" applyBorder="1" applyAlignment="1">
      <alignment horizontal="center"/>
    </xf>
    <xf numFmtId="2" fontId="12" fillId="13" borderId="14" xfId="0" applyNumberFormat="1" applyFont="1" applyFill="1" applyBorder="1" applyAlignment="1">
      <alignment horizontal="center"/>
    </xf>
    <xf numFmtId="0" fontId="12" fillId="13" borderId="14" xfId="0" applyFont="1" applyFill="1" applyBorder="1" applyAlignment="1">
      <alignment horizontal="center"/>
    </xf>
    <xf numFmtId="0" fontId="12" fillId="2" borderId="5" xfId="0" applyFont="1" applyFill="1" applyBorder="1"/>
    <xf numFmtId="2" fontId="0" fillId="7" borderId="13" xfId="0" applyNumberFormat="1" applyFill="1" applyBorder="1" applyAlignment="1">
      <alignment horizontal="center"/>
    </xf>
    <xf numFmtId="2" fontId="0" fillId="0" borderId="13" xfId="0" applyNumberFormat="1" applyFill="1" applyBorder="1" applyAlignment="1">
      <alignment horizontal="center"/>
    </xf>
    <xf numFmtId="2" fontId="0" fillId="11" borderId="13" xfId="0" applyNumberFormat="1" applyFill="1" applyBorder="1" applyAlignment="1">
      <alignment horizontal="center"/>
    </xf>
    <xf numFmtId="2" fontId="12" fillId="0" borderId="13" xfId="0" applyNumberFormat="1" applyFont="1" applyBorder="1"/>
    <xf numFmtId="2" fontId="12" fillId="2" borderId="13" xfId="0" applyNumberFormat="1" applyFont="1" applyFill="1" applyBorder="1"/>
    <xf numFmtId="0" fontId="0" fillId="7" borderId="4" xfId="0" applyFill="1" applyBorder="1" applyAlignment="1">
      <alignment horizontal="center"/>
    </xf>
    <xf numFmtId="0" fontId="0" fillId="0" borderId="4" xfId="0" applyFill="1" applyBorder="1" applyAlignment="1">
      <alignment horizontal="center"/>
    </xf>
    <xf numFmtId="0" fontId="0" fillId="11" borderId="4" xfId="0" applyFill="1" applyBorder="1" applyAlignment="1">
      <alignment horizontal="center"/>
    </xf>
    <xf numFmtId="0" fontId="12" fillId="0" borderId="4" xfId="0" applyFont="1" applyBorder="1"/>
    <xf numFmtId="0" fontId="12" fillId="2" borderId="4" xfId="0" applyFont="1" applyFill="1" applyBorder="1"/>
    <xf numFmtId="0" fontId="12" fillId="12" borderId="4" xfId="0" applyFont="1" applyFill="1" applyBorder="1"/>
    <xf numFmtId="0" fontId="12" fillId="12" borderId="4" xfId="0" applyFont="1" applyFill="1" applyBorder="1" applyAlignment="1">
      <alignment horizontal="center"/>
    </xf>
    <xf numFmtId="0" fontId="12" fillId="9" borderId="14" xfId="0" applyFont="1" applyFill="1" applyBorder="1" applyAlignment="1">
      <alignment horizontal="center"/>
    </xf>
    <xf numFmtId="0" fontId="12" fillId="11" borderId="14" xfId="0" applyFont="1" applyFill="1" applyBorder="1" applyAlignment="1">
      <alignment horizontal="center"/>
    </xf>
    <xf numFmtId="2" fontId="12" fillId="9" borderId="14" xfId="0" applyNumberFormat="1" applyFont="1" applyFill="1" applyBorder="1" applyAlignment="1">
      <alignment horizontal="center"/>
    </xf>
    <xf numFmtId="2" fontId="12" fillId="11" borderId="14" xfId="0" applyNumberFormat="1" applyFont="1" applyFill="1" applyBorder="1" applyAlignment="1">
      <alignment horizontal="center"/>
    </xf>
    <xf numFmtId="0" fontId="12" fillId="9" borderId="5" xfId="0" applyFont="1" applyFill="1" applyBorder="1" applyAlignment="1">
      <alignment horizontal="center"/>
    </xf>
    <xf numFmtId="0" fontId="12" fillId="11" borderId="5" xfId="0" applyFont="1" applyFill="1" applyBorder="1" applyAlignment="1">
      <alignment horizontal="center"/>
    </xf>
    <xf numFmtId="0" fontId="27" fillId="9" borderId="5" xfId="0" applyFont="1" applyFill="1" applyBorder="1" applyAlignment="1">
      <alignment horizontal="center"/>
    </xf>
    <xf numFmtId="0" fontId="27" fillId="11" borderId="5" xfId="0" applyFont="1" applyFill="1" applyBorder="1" applyAlignment="1">
      <alignment horizontal="center"/>
    </xf>
    <xf numFmtId="2" fontId="12" fillId="9" borderId="5" xfId="0" applyNumberFormat="1" applyFont="1" applyFill="1" applyBorder="1" applyAlignment="1">
      <alignment horizontal="center"/>
    </xf>
    <xf numFmtId="2" fontId="12" fillId="11" borderId="5" xfId="0" applyNumberFormat="1" applyFont="1" applyFill="1" applyBorder="1" applyAlignment="1">
      <alignment horizontal="center"/>
    </xf>
    <xf numFmtId="2" fontId="12" fillId="6" borderId="3" xfId="0" applyNumberFormat="1" applyFont="1" applyFill="1" applyBorder="1" applyAlignment="1">
      <alignment horizontal="center"/>
    </xf>
    <xf numFmtId="2" fontId="12" fillId="6" borderId="5" xfId="0" applyNumberFormat="1" applyFont="1" applyFill="1" applyBorder="1" applyAlignment="1">
      <alignment horizontal="center"/>
    </xf>
    <xf numFmtId="0" fontId="12" fillId="6" borderId="5" xfId="0" applyFont="1" applyFill="1" applyBorder="1" applyAlignment="1">
      <alignment horizontal="center"/>
    </xf>
    <xf numFmtId="0" fontId="12" fillId="6" borderId="12" xfId="0" applyFont="1" applyFill="1" applyBorder="1" applyAlignment="1">
      <alignment horizontal="center"/>
    </xf>
    <xf numFmtId="0" fontId="12" fillId="6" borderId="16" xfId="0" applyFont="1" applyFill="1" applyBorder="1" applyAlignment="1">
      <alignment horizontal="center"/>
    </xf>
    <xf numFmtId="2" fontId="12" fillId="6" borderId="16" xfId="0" applyNumberFormat="1" applyFont="1" applyFill="1" applyBorder="1" applyAlignment="1">
      <alignment horizontal="center"/>
    </xf>
    <xf numFmtId="0" fontId="12" fillId="6" borderId="3" xfId="0" applyFont="1" applyFill="1" applyBorder="1" applyAlignment="1">
      <alignment horizontal="center"/>
    </xf>
    <xf numFmtId="0" fontId="12" fillId="6" borderId="9" xfId="0" applyFont="1" applyFill="1" applyBorder="1" applyAlignment="1">
      <alignment horizontal="center"/>
    </xf>
    <xf numFmtId="0" fontId="12" fillId="6" borderId="14" xfId="0" applyFont="1" applyFill="1" applyBorder="1" applyAlignment="1">
      <alignment horizontal="center"/>
    </xf>
    <xf numFmtId="0" fontId="0" fillId="6" borderId="9" xfId="0" applyFill="1" applyBorder="1"/>
    <xf numFmtId="0" fontId="0" fillId="6" borderId="14" xfId="0" applyFill="1" applyBorder="1"/>
    <xf numFmtId="0" fontId="0" fillId="0" borderId="14" xfId="0" applyBorder="1"/>
    <xf numFmtId="0" fontId="0" fillId="12" borderId="14" xfId="0" applyFill="1" applyBorder="1"/>
    <xf numFmtId="0" fontId="0" fillId="8" borderId="14" xfId="0" applyFill="1" applyBorder="1"/>
    <xf numFmtId="0" fontId="0" fillId="6" borderId="3" xfId="0" applyFill="1" applyBorder="1" applyAlignment="1">
      <alignment horizontal="center"/>
    </xf>
    <xf numFmtId="2" fontId="0" fillId="6" borderId="5" xfId="0" applyNumberFormat="1" applyFill="1" applyBorder="1" applyAlignment="1">
      <alignment horizontal="center"/>
    </xf>
    <xf numFmtId="2" fontId="12" fillId="8" borderId="15" xfId="0" applyNumberFormat="1" applyFont="1" applyFill="1" applyBorder="1" applyAlignment="1">
      <alignment horizontal="center"/>
    </xf>
    <xf numFmtId="2" fontId="4" fillId="0" borderId="3" xfId="0" applyNumberFormat="1" applyFont="1" applyBorder="1" applyAlignment="1">
      <alignment horizontal="center"/>
    </xf>
    <xf numFmtId="2" fontId="7" fillId="0" borderId="5" xfId="0" applyNumberFormat="1" applyFont="1" applyBorder="1" applyAlignment="1">
      <alignment horizontal="center"/>
    </xf>
    <xf numFmtId="2" fontId="7" fillId="0" borderId="5" xfId="0" applyNumberFormat="1" applyFont="1" applyBorder="1" applyAlignment="1">
      <alignment horizontal="center" vertical="center"/>
    </xf>
    <xf numFmtId="2" fontId="10" fillId="0" borderId="8" xfId="0" applyNumberFormat="1" applyFont="1" applyBorder="1" applyAlignment="1">
      <alignment horizontal="center"/>
    </xf>
    <xf numFmtId="2" fontId="12" fillId="10" borderId="5" xfId="0" applyNumberFormat="1" applyFont="1" applyFill="1" applyBorder="1"/>
    <xf numFmtId="2" fontId="5" fillId="0" borderId="0" xfId="0" applyNumberFormat="1" applyFont="1" applyFill="1" applyBorder="1"/>
    <xf numFmtId="2" fontId="0" fillId="5" borderId="16" xfId="0" applyNumberFormat="1" applyFill="1" applyBorder="1"/>
    <xf numFmtId="4" fontId="0" fillId="0" borderId="0" xfId="0" applyNumberFormat="1"/>
    <xf numFmtId="2" fontId="45" fillId="12" borderId="5" xfId="0" applyNumberFormat="1" applyFont="1" applyFill="1" applyBorder="1" applyAlignment="1">
      <alignment horizontal="center"/>
    </xf>
    <xf numFmtId="2" fontId="45" fillId="5" borderId="0" xfId="0" applyNumberFormat="1" applyFont="1" applyFill="1" applyBorder="1" applyAlignment="1">
      <alignment horizontal="center"/>
    </xf>
    <xf numFmtId="2" fontId="45" fillId="5" borderId="5" xfId="0" applyNumberFormat="1" applyFont="1" applyFill="1" applyBorder="1" applyAlignment="1">
      <alignment horizontal="center"/>
    </xf>
    <xf numFmtId="2" fontId="46" fillId="8" borderId="0" xfId="0" applyNumberFormat="1" applyFont="1" applyFill="1" applyBorder="1" applyAlignment="1">
      <alignment horizontal="center"/>
    </xf>
    <xf numFmtId="2" fontId="46" fillId="0" borderId="0" xfId="0" applyNumberFormat="1" applyFont="1" applyBorder="1" applyAlignment="1">
      <alignment horizontal="center"/>
    </xf>
    <xf numFmtId="2" fontId="46" fillId="12" borderId="0" xfId="0" applyNumberFormat="1" applyFont="1" applyFill="1" applyBorder="1" applyAlignment="1">
      <alignment horizontal="center"/>
    </xf>
    <xf numFmtId="2" fontId="46" fillId="11" borderId="0" xfId="0" applyNumberFormat="1" applyFont="1" applyFill="1" applyBorder="1" applyAlignment="1">
      <alignment horizontal="center"/>
    </xf>
    <xf numFmtId="0" fontId="12" fillId="11" borderId="16" xfId="0" applyFont="1" applyFill="1" applyBorder="1" applyAlignment="1">
      <alignment horizontal="center"/>
    </xf>
    <xf numFmtId="2" fontId="45" fillId="0" borderId="5" xfId="0" applyNumberFormat="1" applyFont="1" applyBorder="1" applyAlignment="1">
      <alignment horizontal="center"/>
    </xf>
    <xf numFmtId="2" fontId="45" fillId="11" borderId="5" xfId="0" applyNumberFormat="1" applyFont="1" applyFill="1" applyBorder="1" applyAlignment="1">
      <alignment horizontal="center"/>
    </xf>
    <xf numFmtId="0" fontId="12" fillId="8" borderId="15" xfId="0" applyFont="1" applyFill="1" applyBorder="1" applyAlignment="1">
      <alignment horizontal="center"/>
    </xf>
    <xf numFmtId="2" fontId="47" fillId="9" borderId="5" xfId="0" applyNumberFormat="1" applyFont="1" applyFill="1" applyBorder="1"/>
    <xf numFmtId="2" fontId="47" fillId="9" borderId="5" xfId="0" applyNumberFormat="1" applyFont="1" applyFill="1" applyBorder="1" applyAlignment="1">
      <alignment horizontal="center"/>
    </xf>
    <xf numFmtId="2" fontId="45" fillId="2" borderId="5" xfId="0" applyNumberFormat="1" applyFont="1" applyFill="1" applyBorder="1" applyAlignment="1">
      <alignment horizontal="center"/>
    </xf>
    <xf numFmtId="2" fontId="45" fillId="0" borderId="5" xfId="0" applyNumberFormat="1" applyFont="1" applyBorder="1"/>
    <xf numFmtId="2" fontId="45" fillId="8" borderId="5" xfId="0" applyNumberFormat="1" applyFont="1" applyFill="1" applyBorder="1" applyAlignment="1">
      <alignment horizontal="center"/>
    </xf>
    <xf numFmtId="2" fontId="47" fillId="9" borderId="0" xfId="0" applyNumberFormat="1" applyFont="1" applyFill="1" applyBorder="1"/>
    <xf numFmtId="2" fontId="47" fillId="9" borderId="0" xfId="0" applyNumberFormat="1" applyFont="1" applyFill="1" applyBorder="1" applyAlignment="1">
      <alignment horizontal="center"/>
    </xf>
    <xf numFmtId="2" fontId="46" fillId="2" borderId="0" xfId="0" applyNumberFormat="1" applyFont="1" applyFill="1" applyBorder="1" applyAlignment="1">
      <alignment horizontal="center"/>
    </xf>
    <xf numFmtId="2" fontId="46" fillId="0" borderId="0" xfId="0" applyNumberFormat="1" applyFont="1" applyBorder="1"/>
    <xf numFmtId="2" fontId="12" fillId="11" borderId="14" xfId="0" applyNumberFormat="1" applyFont="1" applyFill="1" applyBorder="1" applyAlignment="1">
      <alignment horizontal="center" vertical="center"/>
    </xf>
    <xf numFmtId="0" fontId="12" fillId="11" borderId="14" xfId="0" applyFont="1" applyFill="1" applyBorder="1" applyAlignment="1">
      <alignment horizontal="center" vertical="center"/>
    </xf>
    <xf numFmtId="2" fontId="12" fillId="11" borderId="5" xfId="0" applyNumberFormat="1" applyFont="1" applyFill="1" applyBorder="1" applyAlignment="1">
      <alignment horizontal="center" vertical="center"/>
    </xf>
    <xf numFmtId="0" fontId="12" fillId="11" borderId="16" xfId="0" applyFont="1" applyFill="1" applyBorder="1" applyAlignment="1">
      <alignment horizontal="center" vertical="center"/>
    </xf>
    <xf numFmtId="0" fontId="12" fillId="11" borderId="5" xfId="0" applyFont="1" applyFill="1" applyBorder="1" applyAlignment="1">
      <alignment horizontal="center" vertical="center"/>
    </xf>
    <xf numFmtId="2" fontId="46" fillId="0" borderId="0" xfId="0" applyNumberFormat="1" applyFont="1" applyFill="1" applyBorder="1" applyAlignment="1">
      <alignment horizontal="center" vertical="center"/>
    </xf>
    <xf numFmtId="2" fontId="45" fillId="0" borderId="5" xfId="0" applyNumberFormat="1" applyFont="1" applyFill="1" applyBorder="1" applyAlignment="1">
      <alignment horizontal="center" vertical="center"/>
    </xf>
    <xf numFmtId="2" fontId="46" fillId="9" borderId="0" xfId="0" applyNumberFormat="1" applyFont="1" applyFill="1" applyBorder="1" applyAlignment="1">
      <alignment horizontal="center" vertical="center"/>
    </xf>
    <xf numFmtId="2" fontId="45" fillId="9" borderId="5" xfId="0" applyNumberFormat="1" applyFont="1" applyFill="1" applyBorder="1" applyAlignment="1">
      <alignment horizontal="center" vertical="center"/>
    </xf>
    <xf numFmtId="2" fontId="46" fillId="11" borderId="0" xfId="0" applyNumberFormat="1" applyFont="1" applyFill="1" applyBorder="1" applyAlignment="1">
      <alignment horizontal="center" vertical="center"/>
    </xf>
    <xf numFmtId="2" fontId="45" fillId="11" borderId="5" xfId="0" applyNumberFormat="1" applyFont="1" applyFill="1" applyBorder="1" applyAlignment="1">
      <alignment horizontal="center" vertical="center"/>
    </xf>
    <xf numFmtId="0" fontId="4" fillId="0" borderId="13"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5" fontId="8" fillId="0" borderId="4" xfId="0" applyNumberFormat="1" applyFont="1" applyBorder="1" applyAlignment="1">
      <alignment horizontal="center"/>
    </xf>
    <xf numFmtId="165" fontId="8" fillId="0" borderId="0" xfId="0" applyNumberFormat="1" applyFont="1" applyBorder="1" applyAlignment="1">
      <alignment horizontal="center"/>
    </xf>
    <xf numFmtId="0" fontId="13" fillId="3" borderId="1"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21" xfId="0" applyFont="1" applyFill="1" applyBorder="1" applyAlignment="1">
      <alignment horizontal="center" vertical="center"/>
    </xf>
    <xf numFmtId="0" fontId="13" fillId="3" borderId="22" xfId="0" applyFont="1" applyFill="1" applyBorder="1" applyAlignment="1">
      <alignment horizontal="center" vertic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2" fontId="6" fillId="0" borderId="2" xfId="0" applyNumberFormat="1" applyFont="1" applyBorder="1" applyAlignment="1">
      <alignment horizontal="center"/>
    </xf>
    <xf numFmtId="0" fontId="5" fillId="3" borderId="0" xfId="0" applyFont="1" applyFill="1" applyBorder="1" applyAlignment="1">
      <alignment horizontal="right"/>
    </xf>
    <xf numFmtId="0" fontId="14" fillId="3" borderId="0" xfId="0" applyFont="1" applyFill="1" applyBorder="1"/>
    <xf numFmtId="0" fontId="10" fillId="4" borderId="0" xfId="0" applyFont="1" applyFill="1" applyBorder="1" applyAlignment="1">
      <alignment horizontal="right"/>
    </xf>
    <xf numFmtId="0" fontId="15" fillId="4" borderId="0" xfId="0" applyFont="1" applyFill="1" applyBorder="1" applyAlignment="1">
      <alignment horizontal="right"/>
    </xf>
    <xf numFmtId="0" fontId="15" fillId="4" borderId="7" xfId="0" applyFont="1" applyFill="1" applyBorder="1" applyAlignment="1">
      <alignment horizontal="right"/>
    </xf>
    <xf numFmtId="14" fontId="14" fillId="3" borderId="13" xfId="0" applyNumberFormat="1" applyFont="1" applyFill="1" applyBorder="1"/>
    <xf numFmtId="14" fontId="14" fillId="3" borderId="19" xfId="0" applyNumberFormat="1" applyFont="1" applyFill="1" applyBorder="1"/>
    <xf numFmtId="0" fontId="0" fillId="0" borderId="0" xfId="0"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168" fontId="34" fillId="0" borderId="13" xfId="13" applyNumberFormat="1" applyFont="1" applyBorder="1" applyAlignment="1" applyProtection="1">
      <alignment horizontal="center"/>
    </xf>
    <xf numFmtId="168" fontId="34" fillId="0" borderId="0" xfId="13" applyNumberFormat="1" applyFont="1" applyBorder="1" applyAlignment="1" applyProtection="1">
      <alignment horizontal="center"/>
    </xf>
    <xf numFmtId="0" fontId="0" fillId="7" borderId="0" xfId="0" applyFill="1" applyBorder="1"/>
    <xf numFmtId="0" fontId="12" fillId="7" borderId="0" xfId="0" applyFont="1" applyFill="1" applyBorder="1" applyAlignment="1">
      <alignment horizontal="center"/>
    </xf>
    <xf numFmtId="2" fontId="12" fillId="7" borderId="0" xfId="0" applyNumberFormat="1" applyFont="1" applyFill="1" applyBorder="1" applyAlignment="1">
      <alignment horizontal="center"/>
    </xf>
    <xf numFmtId="14" fontId="12" fillId="7" borderId="0" xfId="0" applyNumberFormat="1" applyFont="1" applyFill="1" applyBorder="1" applyAlignment="1">
      <alignment horizontal="center"/>
    </xf>
    <xf numFmtId="0" fontId="12" fillId="9" borderId="0" xfId="0" applyFont="1" applyFill="1" applyBorder="1"/>
    <xf numFmtId="2" fontId="12" fillId="9" borderId="0" xfId="0" applyNumberFormat="1" applyFont="1" applyFill="1" applyBorder="1"/>
    <xf numFmtId="2" fontId="14" fillId="3" borderId="26" xfId="0" applyNumberFormat="1" applyFont="1" applyFill="1" applyBorder="1"/>
    <xf numFmtId="2" fontId="14" fillId="3" borderId="13" xfId="0" applyNumberFormat="1" applyFont="1" applyFill="1" applyBorder="1"/>
    <xf numFmtId="2" fontId="14" fillId="3" borderId="19" xfId="0" applyNumberFormat="1" applyFont="1" applyFill="1" applyBorder="1"/>
    <xf numFmtId="2" fontId="4" fillId="0" borderId="1" xfId="0" applyNumberFormat="1" applyFont="1" applyBorder="1" applyAlignment="1">
      <alignment horizontal="center" vertical="top"/>
    </xf>
    <xf numFmtId="2" fontId="0" fillId="0" borderId="4" xfId="0" applyNumberFormat="1" applyBorder="1"/>
    <xf numFmtId="2" fontId="4" fillId="0" borderId="4" xfId="0" applyNumberFormat="1" applyFont="1" applyBorder="1" applyAlignment="1">
      <alignment horizontal="center"/>
    </xf>
    <xf numFmtId="2" fontId="4" fillId="0" borderId="4" xfId="0" applyNumberFormat="1" applyFont="1" applyBorder="1" applyAlignment="1">
      <alignment horizontal="center" vertical="center"/>
    </xf>
    <xf numFmtId="2" fontId="5" fillId="0" borderId="6" xfId="0" applyNumberFormat="1" applyFont="1" applyBorder="1" applyAlignment="1">
      <alignment horizontal="center"/>
    </xf>
    <xf numFmtId="0" fontId="12" fillId="15" borderId="0" xfId="0" applyFont="1" applyFill="1" applyBorder="1" applyAlignment="1">
      <alignment horizontal="center"/>
    </xf>
    <xf numFmtId="0" fontId="12" fillId="15" borderId="14" xfId="0" applyFont="1" applyFill="1" applyBorder="1" applyAlignment="1">
      <alignment horizontal="center"/>
    </xf>
    <xf numFmtId="2" fontId="12" fillId="15" borderId="0" xfId="0" applyNumberFormat="1" applyFont="1" applyFill="1" applyBorder="1" applyAlignment="1">
      <alignment horizontal="center"/>
    </xf>
    <xf numFmtId="0" fontId="12" fillId="15" borderId="5" xfId="0" applyFont="1" applyFill="1" applyBorder="1" applyAlignment="1">
      <alignment horizontal="center"/>
    </xf>
    <xf numFmtId="0" fontId="12" fillId="15" borderId="16" xfId="0" applyFont="1" applyFill="1" applyBorder="1" applyAlignment="1">
      <alignment horizontal="center"/>
    </xf>
    <xf numFmtId="0" fontId="12" fillId="15" borderId="15" xfId="0" applyFont="1" applyFill="1" applyBorder="1" applyAlignment="1">
      <alignment horizontal="center"/>
    </xf>
    <xf numFmtId="0" fontId="0" fillId="15" borderId="0" xfId="0" applyFill="1" applyBorder="1"/>
    <xf numFmtId="2" fontId="12" fillId="15" borderId="0" xfId="0" applyNumberFormat="1" applyFont="1" applyFill="1" applyBorder="1"/>
    <xf numFmtId="14" fontId="12" fillId="15" borderId="0" xfId="0" applyNumberFormat="1" applyFont="1" applyFill="1" applyBorder="1" applyAlignment="1">
      <alignment horizontal="center"/>
    </xf>
    <xf numFmtId="2" fontId="12" fillId="15" borderId="5" xfId="0" applyNumberFormat="1" applyFont="1" applyFill="1" applyBorder="1" applyAlignment="1">
      <alignment horizontal="center"/>
    </xf>
    <xf numFmtId="2" fontId="12" fillId="15" borderId="14" xfId="0" applyNumberFormat="1" applyFont="1" applyFill="1" applyBorder="1" applyAlignment="1">
      <alignment horizontal="center"/>
    </xf>
    <xf numFmtId="2" fontId="12" fillId="15" borderId="15" xfId="0" applyNumberFormat="1" applyFont="1" applyFill="1" applyBorder="1" applyAlignment="1">
      <alignment horizontal="center"/>
    </xf>
    <xf numFmtId="2" fontId="7" fillId="0" borderId="0" xfId="0" applyNumberFormat="1" applyFont="1" applyBorder="1" applyAlignment="1">
      <alignment horizontal="center"/>
    </xf>
    <xf numFmtId="2" fontId="7" fillId="0" borderId="0" xfId="0" applyNumberFormat="1" applyFont="1" applyBorder="1" applyAlignment="1">
      <alignment horizontal="center" vertical="center"/>
    </xf>
    <xf numFmtId="2" fontId="10" fillId="0" borderId="7" xfId="0" applyNumberFormat="1" applyFont="1" applyBorder="1" applyAlignment="1">
      <alignment horizontal="center"/>
    </xf>
    <xf numFmtId="2" fontId="12" fillId="12" borderId="5" xfId="0" applyNumberFormat="1" applyFont="1" applyFill="1" applyBorder="1"/>
    <xf numFmtId="2" fontId="12" fillId="8" borderId="0" xfId="0" applyNumberFormat="1" applyFont="1" applyFill="1" applyBorder="1"/>
    <xf numFmtId="2" fontId="12" fillId="8" borderId="5" xfId="0" applyNumberFormat="1" applyFont="1" applyFill="1" applyBorder="1"/>
    <xf numFmtId="2" fontId="12" fillId="15" borderId="5" xfId="0" applyNumberFormat="1" applyFont="1" applyFill="1" applyBorder="1"/>
    <xf numFmtId="0" fontId="12" fillId="7" borderId="0" xfId="0" applyFont="1" applyFill="1" applyBorder="1" applyAlignment="1">
      <alignment horizontal="center" vertical="center"/>
    </xf>
    <xf numFmtId="2" fontId="12" fillId="7" borderId="0" xfId="0" applyNumberFormat="1" applyFont="1" applyFill="1" applyBorder="1" applyAlignment="1">
      <alignment horizontal="center" vertical="center"/>
    </xf>
    <xf numFmtId="0" fontId="0" fillId="7" borderId="0" xfId="0" applyFill="1" applyBorder="1" applyAlignment="1">
      <alignment horizontal="center" vertical="center"/>
    </xf>
    <xf numFmtId="14" fontId="12" fillId="7" borderId="0" xfId="0" applyNumberFormat="1" applyFont="1" applyFill="1" applyBorder="1" applyAlignment="1">
      <alignment horizontal="center" vertical="center"/>
    </xf>
    <xf numFmtId="2" fontId="12" fillId="7" borderId="0" xfId="0" applyNumberFormat="1" applyFont="1" applyFill="1" applyBorder="1"/>
    <xf numFmtId="0" fontId="28" fillId="7" borderId="0" xfId="0" applyFont="1" applyFill="1" applyBorder="1" applyAlignment="1">
      <alignment horizontal="center"/>
    </xf>
    <xf numFmtId="2" fontId="12" fillId="10" borderId="0" xfId="0" applyNumberFormat="1" applyFont="1" applyFill="1" applyBorder="1"/>
    <xf numFmtId="2" fontId="7" fillId="0" borderId="0" xfId="0" applyNumberFormat="1" applyFont="1" applyBorder="1" applyAlignment="1">
      <alignment horizontal="center" vertical="center" wrapText="1"/>
    </xf>
    <xf numFmtId="2" fontId="7" fillId="0" borderId="5" xfId="0" applyNumberFormat="1" applyFont="1" applyBorder="1" applyAlignment="1">
      <alignment horizontal="center" vertical="center" wrapText="1"/>
    </xf>
    <xf numFmtId="2" fontId="5" fillId="0" borderId="0" xfId="0" applyNumberFormat="1" applyFont="1" applyFill="1" applyBorder="1" applyAlignment="1">
      <alignment horizontal="center"/>
    </xf>
    <xf numFmtId="2" fontId="46" fillId="15" borderId="0" xfId="0" applyNumberFormat="1" applyFont="1" applyFill="1" applyBorder="1" applyAlignment="1">
      <alignment horizontal="center"/>
    </xf>
    <xf numFmtId="2" fontId="45" fillId="15" borderId="5" xfId="0" applyNumberFormat="1" applyFont="1" applyFill="1" applyBorder="1" applyAlignment="1">
      <alignment horizontal="center"/>
    </xf>
    <xf numFmtId="2" fontId="0" fillId="15" borderId="5" xfId="0" applyNumberFormat="1" applyFill="1" applyBorder="1" applyAlignment="1">
      <alignment horizontal="center"/>
    </xf>
    <xf numFmtId="0" fontId="0" fillId="15" borderId="5" xfId="0" applyFill="1" applyBorder="1" applyAlignment="1">
      <alignment horizontal="center"/>
    </xf>
    <xf numFmtId="2" fontId="19" fillId="0" borderId="16" xfId="2" applyNumberFormat="1" applyBorder="1" applyAlignment="1" applyProtection="1">
      <alignment horizontal="center"/>
    </xf>
    <xf numFmtId="2" fontId="19" fillId="0" borderId="5" xfId="2" applyNumberFormat="1" applyBorder="1" applyAlignment="1" applyProtection="1">
      <alignment horizontal="center"/>
    </xf>
    <xf numFmtId="0" fontId="0" fillId="0" borderId="16" xfId="0" applyFill="1" applyBorder="1"/>
    <xf numFmtId="0" fontId="0" fillId="7" borderId="16" xfId="0" applyFill="1" applyBorder="1"/>
    <xf numFmtId="2" fontId="0" fillId="0" borderId="5" xfId="0" applyNumberFormat="1" applyFill="1" applyBorder="1" applyAlignment="1">
      <alignment horizontal="center"/>
    </xf>
    <xf numFmtId="0" fontId="0" fillId="0" borderId="5" xfId="0" applyFill="1" applyBorder="1"/>
    <xf numFmtId="0" fontId="0" fillId="7" borderId="5" xfId="0" applyFill="1" applyBorder="1"/>
    <xf numFmtId="2" fontId="5" fillId="3" borderId="19" xfId="0" applyNumberFormat="1" applyFont="1" applyFill="1" applyBorder="1"/>
    <xf numFmtId="14" fontId="5" fillId="3" borderId="23" xfId="0" applyNumberFormat="1" applyFont="1" applyFill="1" applyBorder="1"/>
    <xf numFmtId="0" fontId="12" fillId="7" borderId="14" xfId="0" applyFont="1" applyFill="1" applyBorder="1" applyAlignment="1">
      <alignment horizontal="center"/>
    </xf>
    <xf numFmtId="2" fontId="12" fillId="7" borderId="5" xfId="0" applyNumberFormat="1" applyFont="1" applyFill="1" applyBorder="1" applyAlignment="1">
      <alignment horizontal="center"/>
    </xf>
    <xf numFmtId="0" fontId="12" fillId="7" borderId="5" xfId="0" applyFont="1" applyFill="1" applyBorder="1" applyAlignment="1">
      <alignment horizontal="center"/>
    </xf>
    <xf numFmtId="0" fontId="12" fillId="7" borderId="16" xfId="0" applyFont="1" applyFill="1" applyBorder="1" applyAlignment="1">
      <alignment horizontal="center"/>
    </xf>
    <xf numFmtId="2" fontId="5" fillId="3" borderId="24" xfId="0" applyNumberFormat="1" applyFont="1" applyFill="1" applyBorder="1"/>
    <xf numFmtId="2" fontId="10" fillId="0" borderId="0" xfId="7" applyNumberFormat="1" applyFont="1" applyAlignment="1">
      <alignment horizontal="center"/>
    </xf>
    <xf numFmtId="0" fontId="12" fillId="9" borderId="16" xfId="0" applyFont="1" applyFill="1" applyBorder="1" applyAlignment="1">
      <alignment horizontal="center"/>
    </xf>
    <xf numFmtId="0" fontId="12" fillId="9" borderId="5" xfId="0" applyFont="1" applyFill="1" applyBorder="1"/>
    <xf numFmtId="2" fontId="0" fillId="9" borderId="5" xfId="0" applyNumberFormat="1" applyFill="1" applyBorder="1" applyAlignment="1">
      <alignment horizontal="center"/>
    </xf>
    <xf numFmtId="2" fontId="0" fillId="9" borderId="5" xfId="0" applyNumberFormat="1" applyFill="1" applyBorder="1"/>
    <xf numFmtId="0" fontId="12" fillId="10" borderId="14" xfId="0" applyFont="1" applyFill="1" applyBorder="1"/>
    <xf numFmtId="0" fontId="12" fillId="10" borderId="5" xfId="0" applyFont="1" applyFill="1" applyBorder="1"/>
    <xf numFmtId="0" fontId="0" fillId="10" borderId="25" xfId="0" applyFill="1" applyBorder="1" applyAlignment="1">
      <alignment horizontal="center"/>
    </xf>
    <xf numFmtId="0" fontId="0" fillId="10" borderId="25" xfId="0" applyFill="1" applyBorder="1"/>
    <xf numFmtId="2" fontId="12" fillId="7" borderId="5" xfId="0" applyNumberFormat="1" applyFont="1" applyFill="1" applyBorder="1" applyAlignment="1">
      <alignment horizontal="center" vertical="center"/>
    </xf>
    <xf numFmtId="0" fontId="12" fillId="7" borderId="5" xfId="0" applyFont="1" applyFill="1" applyBorder="1" applyAlignment="1">
      <alignment horizontal="center" vertical="center"/>
    </xf>
    <xf numFmtId="0" fontId="12" fillId="7" borderId="16" xfId="0" applyFont="1" applyFill="1" applyBorder="1" applyAlignment="1">
      <alignment horizontal="center" vertical="center"/>
    </xf>
    <xf numFmtId="0" fontId="0" fillId="7" borderId="5" xfId="0"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2" fontId="12" fillId="7" borderId="14" xfId="0" applyNumberFormat="1" applyFont="1" applyFill="1" applyBorder="1" applyAlignment="1">
      <alignment horizontal="center" vertical="center"/>
    </xf>
    <xf numFmtId="2" fontId="12" fillId="11" borderId="15" xfId="0" applyNumberFormat="1" applyFont="1" applyFill="1" applyBorder="1" applyAlignment="1">
      <alignment horizontal="center" vertical="center"/>
    </xf>
    <xf numFmtId="2" fontId="12" fillId="7" borderId="14" xfId="0" applyNumberFormat="1" applyFont="1" applyFill="1" applyBorder="1" applyAlignment="1">
      <alignment horizontal="center"/>
    </xf>
    <xf numFmtId="2" fontId="12" fillId="7" borderId="5" xfId="0" applyNumberFormat="1" applyFont="1" applyFill="1" applyBorder="1"/>
    <xf numFmtId="0" fontId="27" fillId="7" borderId="5" xfId="0" applyFont="1" applyFill="1" applyBorder="1" applyAlignment="1">
      <alignment horizontal="center"/>
    </xf>
    <xf numFmtId="2" fontId="12" fillId="7" borderId="15" xfId="0" applyNumberFormat="1" applyFont="1" applyFill="1" applyBorder="1" applyAlignment="1">
      <alignment horizontal="center" vertical="center"/>
    </xf>
    <xf numFmtId="0" fontId="0" fillId="9" borderId="5" xfId="0" applyFill="1" applyBorder="1" applyAlignment="1">
      <alignment horizontal="center"/>
    </xf>
    <xf numFmtId="0" fontId="12" fillId="9" borderId="15" xfId="0" applyFont="1" applyFill="1" applyBorder="1" applyAlignment="1">
      <alignment horizontal="center"/>
    </xf>
    <xf numFmtId="0" fontId="0" fillId="0" borderId="31" xfId="0" applyBorder="1"/>
    <xf numFmtId="0" fontId="0" fillId="9" borderId="31" xfId="0" applyFill="1" applyBorder="1"/>
    <xf numFmtId="0" fontId="2" fillId="0" borderId="26" xfId="0" applyFont="1" applyFill="1" applyBorder="1" applyAlignment="1">
      <alignment horizontal="center"/>
    </xf>
    <xf numFmtId="0" fontId="2" fillId="0" borderId="27" xfId="0" applyFont="1" applyFill="1" applyBorder="1" applyAlignment="1">
      <alignment horizontal="center"/>
    </xf>
    <xf numFmtId="0" fontId="2" fillId="0" borderId="28" xfId="0" applyFont="1" applyFill="1" applyBorder="1" applyAlignment="1">
      <alignment horizontal="center"/>
    </xf>
    <xf numFmtId="0" fontId="4" fillId="0" borderId="13"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5" fontId="8" fillId="0" borderId="4" xfId="0" applyNumberFormat="1" applyFont="1" applyBorder="1" applyAlignment="1">
      <alignment horizontal="center"/>
    </xf>
    <xf numFmtId="165" fontId="8" fillId="0" borderId="0" xfId="0" applyNumberFormat="1" applyFont="1" applyBorder="1" applyAlignment="1">
      <alignment horizontal="center"/>
    </xf>
    <xf numFmtId="0" fontId="13" fillId="3" borderId="1"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21" xfId="0" applyFont="1" applyFill="1" applyBorder="1" applyAlignment="1">
      <alignment horizontal="center" vertical="center"/>
    </xf>
    <xf numFmtId="0" fontId="13" fillId="3" borderId="22" xfId="0" applyFont="1" applyFill="1" applyBorder="1" applyAlignment="1">
      <alignment horizontal="center" vertical="center"/>
    </xf>
    <xf numFmtId="0" fontId="8" fillId="4" borderId="11" xfId="0" applyFont="1" applyFill="1" applyBorder="1" applyAlignment="1">
      <alignment horizontal="center"/>
    </xf>
    <xf numFmtId="0" fontId="8" fillId="4" borderId="2" xfId="0" applyFont="1" applyFill="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2" fontId="6" fillId="0" borderId="1" xfId="0" applyNumberFormat="1" applyFont="1" applyBorder="1" applyAlignment="1">
      <alignment horizontal="center"/>
    </xf>
    <xf numFmtId="2" fontId="6" fillId="0" borderId="2" xfId="0" applyNumberFormat="1" applyFont="1" applyBorder="1" applyAlignment="1">
      <alignment horizontal="center"/>
    </xf>
    <xf numFmtId="2" fontId="6" fillId="0" borderId="3" xfId="0" applyNumberFormat="1" applyFont="1" applyBorder="1" applyAlignment="1">
      <alignment horizontal="center"/>
    </xf>
    <xf numFmtId="2" fontId="6" fillId="0" borderId="4" xfId="0" applyNumberFormat="1" applyFont="1" applyBorder="1" applyAlignment="1">
      <alignment horizontal="center"/>
    </xf>
    <xf numFmtId="2" fontId="6" fillId="0" borderId="0" xfId="0" applyNumberFormat="1" applyFont="1" applyBorder="1" applyAlignment="1">
      <alignment horizontal="center"/>
    </xf>
    <xf numFmtId="2" fontId="8" fillId="0" borderId="4" xfId="0" applyNumberFormat="1" applyFont="1" applyBorder="1" applyAlignment="1">
      <alignment horizontal="center"/>
    </xf>
    <xf numFmtId="2" fontId="8" fillId="0" borderId="0" xfId="0" applyNumberFormat="1" applyFont="1" applyBorder="1" applyAlignment="1">
      <alignment horizontal="center"/>
    </xf>
    <xf numFmtId="0" fontId="18" fillId="0" borderId="2" xfId="2" applyFont="1" applyBorder="1" applyAlignment="1" applyProtection="1">
      <alignment horizontal="center"/>
    </xf>
    <xf numFmtId="0" fontId="18" fillId="0" borderId="3" xfId="2" applyFont="1" applyBorder="1" applyAlignment="1" applyProtection="1">
      <alignment horizontal="center"/>
    </xf>
    <xf numFmtId="0" fontId="31" fillId="0" borderId="1" xfId="1" applyFont="1" applyBorder="1" applyAlignment="1" applyProtection="1">
      <alignment horizontal="center"/>
    </xf>
    <xf numFmtId="0" fontId="31" fillId="0" borderId="2" xfId="1" applyFont="1" applyBorder="1" applyAlignment="1" applyProtection="1">
      <alignment horizontal="center"/>
    </xf>
    <xf numFmtId="1" fontId="31" fillId="0" borderId="1" xfId="3" applyNumberFormat="1" applyFont="1" applyBorder="1" applyAlignment="1" applyProtection="1">
      <alignment horizontal="center"/>
    </xf>
    <xf numFmtId="1" fontId="31" fillId="0" borderId="2" xfId="3" applyNumberFormat="1" applyFont="1" applyBorder="1" applyAlignment="1" applyProtection="1">
      <alignment horizontal="center"/>
    </xf>
    <xf numFmtId="1" fontId="31" fillId="0" borderId="3" xfId="3" applyNumberFormat="1" applyFont="1" applyBorder="1" applyAlignment="1" applyProtection="1">
      <alignment horizontal="center"/>
    </xf>
    <xf numFmtId="0" fontId="34" fillId="0" borderId="13" xfId="13" applyFont="1" applyBorder="1" applyAlignment="1" applyProtection="1">
      <alignment horizontal="center"/>
    </xf>
    <xf numFmtId="0" fontId="34" fillId="0" borderId="0" xfId="13" applyFont="1" applyBorder="1" applyAlignment="1" applyProtection="1">
      <alignment horizontal="center"/>
    </xf>
    <xf numFmtId="0" fontId="34" fillId="0" borderId="14" xfId="13" applyFont="1" applyBorder="1" applyAlignment="1" applyProtection="1">
      <alignment horizontal="center"/>
    </xf>
    <xf numFmtId="168" fontId="34" fillId="0" borderId="13" xfId="13" applyNumberFormat="1" applyFont="1" applyBorder="1" applyAlignment="1" applyProtection="1">
      <alignment horizontal="center"/>
    </xf>
    <xf numFmtId="168" fontId="34" fillId="0" borderId="0" xfId="13" applyNumberFormat="1" applyFont="1" applyBorder="1" applyAlignment="1" applyProtection="1">
      <alignment horizontal="center"/>
    </xf>
    <xf numFmtId="168" fontId="34" fillId="0" borderId="14" xfId="13" applyNumberFormat="1" applyFont="1" applyBorder="1" applyAlignment="1" applyProtection="1">
      <alignment horizontal="center"/>
    </xf>
    <xf numFmtId="2" fontId="31" fillId="0" borderId="1" xfId="4" applyNumberFormat="1" applyFont="1" applyBorder="1" applyAlignment="1" applyProtection="1">
      <alignment horizontal="center"/>
    </xf>
    <xf numFmtId="2" fontId="31" fillId="0" borderId="3" xfId="4" applyNumberFormat="1" applyFont="1" applyBorder="1" applyAlignment="1" applyProtection="1">
      <alignment horizontal="center"/>
    </xf>
    <xf numFmtId="0" fontId="31" fillId="0" borderId="3" xfId="1" applyFont="1" applyBorder="1" applyAlignment="1" applyProtection="1">
      <alignment horizontal="center"/>
    </xf>
    <xf numFmtId="2" fontId="31" fillId="0" borderId="2" xfId="4" applyNumberFormat="1" applyFont="1" applyBorder="1" applyAlignment="1" applyProtection="1">
      <alignment horizontal="center"/>
    </xf>
  </cellXfs>
  <cellStyles count="14">
    <cellStyle name="??0" xfId="8" xr:uid="{00000000-0005-0000-0000-000000000000}"/>
    <cellStyle name="0.000" xfId="4" xr:uid="{00000000-0005-0000-0000-000001000000}"/>
    <cellStyle name="hel8" xfId="5" xr:uid="{00000000-0005-0000-0000-000002000000}"/>
    <cellStyle name="hel8 2" xfId="6" xr:uid="{00000000-0005-0000-0000-000003000000}"/>
    <cellStyle name="hel8 blue" xfId="3" xr:uid="{00000000-0005-0000-0000-000004000000}"/>
    <cellStyle name="hel8b_Snow Pit1" xfId="1" xr:uid="{00000000-0005-0000-0000-000005000000}"/>
    <cellStyle name="McCall" xfId="10" xr:uid="{00000000-0005-0000-0000-000006000000}"/>
    <cellStyle name="Normal" xfId="0" builtinId="0"/>
    <cellStyle name="Normal 2" xfId="11" xr:uid="{8FE63DF2-758E-47F3-8640-7CA91A3FCAA4}"/>
    <cellStyle name="Normal 2 3" xfId="2" xr:uid="{00000000-0005-0000-0000-000008000000}"/>
    <cellStyle name="Normal 4" xfId="7" xr:uid="{00000000-0005-0000-0000-000009000000}"/>
    <cellStyle name="Normal 4 2" xfId="12" xr:uid="{C8F82B9C-A566-49A0-87BF-52C81F8028A8}"/>
    <cellStyle name="Normal_C-snowpits" xfId="13" xr:uid="{43231EDC-EA03-4DA3-A045-3BE72EE39230}"/>
    <cellStyle name="Probes" xfId="9" xr:uid="{00000000-0005-0000-0000-00000B000000}"/>
  </cellStyles>
  <dxfs count="12">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FFCCCC"/>
      <color rgb="FFCC99FF"/>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2.5428331875182269E-2"/>
          <c:w val="0.8585579615048119"/>
          <c:h val="0.8416746864975212"/>
        </c:manualLayout>
      </c:layout>
      <c:scatterChart>
        <c:scatterStyle val="lineMarker"/>
        <c:varyColors val="0"/>
        <c:ser>
          <c:idx val="0"/>
          <c:order val="0"/>
          <c:tx>
            <c:v>bw</c:v>
          </c:tx>
          <c:spPr>
            <a:ln w="25400" cap="rnd">
              <a:noFill/>
              <a:round/>
            </a:ln>
            <a:effectLst/>
          </c:spPr>
          <c:marker>
            <c:symbol val="circle"/>
            <c:size val="5"/>
            <c:spPr>
              <a:solidFill>
                <a:schemeClr val="accent1"/>
              </a:solidFill>
              <a:ln w="9525">
                <a:solidFill>
                  <a:schemeClr val="accent1"/>
                </a:solidFill>
              </a:ln>
              <a:effectLst/>
            </c:spPr>
          </c:marker>
          <c:xVal>
            <c:numRef>
              <c:f>'Stake Summary'!$E$4:$E$12</c:f>
              <c:numCache>
                <c:formatCode>0</c:formatCode>
                <c:ptCount val="9"/>
                <c:pt idx="0">
                  <c:v>649.23450000000003</c:v>
                </c:pt>
                <c:pt idx="1">
                  <c:v>993.50274999999999</c:v>
                </c:pt>
                <c:pt idx="2">
                  <c:v>1050.7671666666668</c:v>
                </c:pt>
                <c:pt idx="3">
                  <c:v>1231.0920000000001</c:v>
                </c:pt>
                <c:pt idx="4">
                  <c:v>1292.85625</c:v>
                </c:pt>
                <c:pt idx="5">
                  <c:v>1347.8404999999998</c:v>
                </c:pt>
                <c:pt idx="6">
                  <c:v>1368.4267499999999</c:v>
                </c:pt>
                <c:pt idx="7">
                  <c:v>1365.9090000000001</c:v>
                </c:pt>
              </c:numCache>
            </c:numRef>
          </c:xVal>
          <c:yVal>
            <c:numRef>
              <c:f>'Stake Summary'!$F$4:$F$12</c:f>
              <c:numCache>
                <c:formatCode>0.00</c:formatCode>
                <c:ptCount val="9"/>
                <c:pt idx="0">
                  <c:v>1.5424430641821949</c:v>
                </c:pt>
                <c:pt idx="1">
                  <c:v>1.9997119485716435</c:v>
                </c:pt>
                <c:pt idx="2">
                  <c:v>2.3049517371990182</c:v>
                </c:pt>
                <c:pt idx="3" formatCode="#,##0.00">
                  <c:v>3.9851787493746786</c:v>
                </c:pt>
                <c:pt idx="4">
                  <c:v>3.6298484395572013</c:v>
                </c:pt>
                <c:pt idx="5">
                  <c:v>4.1256943443116105</c:v>
                </c:pt>
                <c:pt idx="6">
                  <c:v>3.2761272207168792</c:v>
                </c:pt>
                <c:pt idx="7">
                  <c:v>4.3361465288567622</c:v>
                </c:pt>
              </c:numCache>
            </c:numRef>
          </c:yVal>
          <c:smooth val="0"/>
          <c:extLst>
            <c:ext xmlns:c16="http://schemas.microsoft.com/office/drawing/2014/chart" uri="{C3380CC4-5D6E-409C-BE32-E72D297353CC}">
              <c16:uniqueId val="{00000000-3A88-4653-815C-2FE376187603}"/>
            </c:ext>
          </c:extLst>
        </c:ser>
        <c:ser>
          <c:idx val="1"/>
          <c:order val="1"/>
          <c:tx>
            <c:v>ba</c:v>
          </c:tx>
          <c:spPr>
            <a:ln w="25400" cap="rnd">
              <a:noFill/>
              <a:round/>
            </a:ln>
            <a:effectLst/>
          </c:spPr>
          <c:marker>
            <c:symbol val="circle"/>
            <c:size val="5"/>
            <c:spPr>
              <a:solidFill>
                <a:schemeClr val="accent2"/>
              </a:solidFill>
              <a:ln w="9525">
                <a:solidFill>
                  <a:schemeClr val="accent2"/>
                </a:solidFill>
              </a:ln>
              <a:effectLst/>
            </c:spPr>
          </c:marker>
          <c:xVal>
            <c:numRef>
              <c:f>'Stake Summary'!$E$4:$E$11</c:f>
              <c:numCache>
                <c:formatCode>0</c:formatCode>
                <c:ptCount val="8"/>
                <c:pt idx="0">
                  <c:v>649.23450000000003</c:v>
                </c:pt>
                <c:pt idx="1">
                  <c:v>993.50274999999999</c:v>
                </c:pt>
                <c:pt idx="2">
                  <c:v>1050.7671666666668</c:v>
                </c:pt>
                <c:pt idx="3">
                  <c:v>1231.0920000000001</c:v>
                </c:pt>
                <c:pt idx="4">
                  <c:v>1292.85625</c:v>
                </c:pt>
                <c:pt idx="5">
                  <c:v>1347.8404999999998</c:v>
                </c:pt>
                <c:pt idx="6">
                  <c:v>1368.4267499999999</c:v>
                </c:pt>
                <c:pt idx="7">
                  <c:v>1365.9090000000001</c:v>
                </c:pt>
              </c:numCache>
            </c:numRef>
          </c:xVal>
          <c:yVal>
            <c:numRef>
              <c:f>'Stake Summary'!$G$4:$G$11</c:f>
              <c:numCache>
                <c:formatCode>0.00</c:formatCode>
                <c:ptCount val="8"/>
                <c:pt idx="0" formatCode="#,##0.00">
                  <c:v>0</c:v>
                </c:pt>
                <c:pt idx="1">
                  <c:v>0</c:v>
                </c:pt>
                <c:pt idx="2">
                  <c:v>0</c:v>
                </c:pt>
                <c:pt idx="3" formatCode="#,##0.00">
                  <c:v>0</c:v>
                </c:pt>
                <c:pt idx="4">
                  <c:v>0</c:v>
                </c:pt>
                <c:pt idx="5">
                  <c:v>0</c:v>
                </c:pt>
                <c:pt idx="6">
                  <c:v>0</c:v>
                </c:pt>
                <c:pt idx="7">
                  <c:v>0</c:v>
                </c:pt>
              </c:numCache>
            </c:numRef>
          </c:yVal>
          <c:smooth val="0"/>
          <c:extLst>
            <c:ext xmlns:c16="http://schemas.microsoft.com/office/drawing/2014/chart" uri="{C3380CC4-5D6E-409C-BE32-E72D297353CC}">
              <c16:uniqueId val="{00000000-0850-486B-B5B6-D1D40E7BBD72}"/>
            </c:ext>
          </c:extLst>
        </c:ser>
        <c:dLbls>
          <c:showLegendKey val="0"/>
          <c:showVal val="0"/>
          <c:showCatName val="0"/>
          <c:showSerName val="0"/>
          <c:showPercent val="0"/>
          <c:showBubbleSize val="0"/>
        </c:dLbls>
        <c:axId val="641114016"/>
        <c:axId val="641108768"/>
      </c:scatterChart>
      <c:valAx>
        <c:axId val="641114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08768"/>
        <c:crosses val="autoZero"/>
        <c:crossBetween val="midCat"/>
      </c:valAx>
      <c:valAx>
        <c:axId val="641108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14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SiteAUU_Pit_20250510!$G$13:$G$27</c:f>
              <c:numCache>
                <c:formatCode>0.00</c:formatCode>
                <c:ptCount val="15"/>
                <c:pt idx="0">
                  <c:v>0.41925465838509318</c:v>
                </c:pt>
                <c:pt idx="1">
                  <c:v>0.52277432712215322</c:v>
                </c:pt>
                <c:pt idx="2">
                  <c:v>0.50207039337474124</c:v>
                </c:pt>
                <c:pt idx="3">
                  <c:v>0.50724637681159424</c:v>
                </c:pt>
                <c:pt idx="4">
                  <c:v>0.5383022774327122</c:v>
                </c:pt>
                <c:pt idx="5">
                  <c:v>0.54347826086956519</c:v>
                </c:pt>
                <c:pt idx="6">
                  <c:v>0.50724637681159424</c:v>
                </c:pt>
                <c:pt idx="7">
                  <c:v>0.51759834368530022</c:v>
                </c:pt>
                <c:pt idx="8">
                  <c:v>0.52277432712215322</c:v>
                </c:pt>
                <c:pt idx="9">
                  <c:v>0.48136645962732921</c:v>
                </c:pt>
                <c:pt idx="10">
                  <c:v>0.50724637681159424</c:v>
                </c:pt>
                <c:pt idx="11">
                  <c:v>0.52795031055900621</c:v>
                </c:pt>
                <c:pt idx="12">
                  <c:v>0.51759834368530022</c:v>
                </c:pt>
                <c:pt idx="13">
                  <c:v>0.54865424430641818</c:v>
                </c:pt>
                <c:pt idx="14">
                  <c:v>0.54865424430641818</c:v>
                </c:pt>
              </c:numCache>
            </c:numRef>
          </c:xVal>
          <c:yVal>
            <c:numRef>
              <c:f>SiteAUU_Pit_20250510!$C$13:$C$27</c:f>
              <c:numCache>
                <c:formatCode>??0</c:formatCode>
                <c:ptCount val="1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numCache>
            </c:numRef>
          </c:yVal>
          <c:smooth val="1"/>
          <c:extLst>
            <c:ext xmlns:c16="http://schemas.microsoft.com/office/drawing/2014/chart" uri="{C3380CC4-5D6E-409C-BE32-E72D297353CC}">
              <c16:uniqueId val="{00000000-5A4B-4433-B43B-F264BDED588A}"/>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SiteB_PitCore_20250507!$P$13:$P$22</c:f>
              <c:numCache>
                <c:formatCode>0.00</c:formatCode>
                <c:ptCount val="10"/>
                <c:pt idx="0">
                  <c:v>0.29499999999999998</c:v>
                </c:pt>
                <c:pt idx="1">
                  <c:v>0.25</c:v>
                </c:pt>
                <c:pt idx="2">
                  <c:v>0.26</c:v>
                </c:pt>
                <c:pt idx="3">
                  <c:v>0.31</c:v>
                </c:pt>
                <c:pt idx="4">
                  <c:v>0.375</c:v>
                </c:pt>
                <c:pt idx="5">
                  <c:v>0.34499999999999997</c:v>
                </c:pt>
              </c:numCache>
            </c:numRef>
          </c:xVal>
          <c:yVal>
            <c:numRef>
              <c:f>SiteB_PitCore_20250507!$C$13:$C$22</c:f>
              <c:numCache>
                <c:formatCode>??0</c:formatCode>
                <c:ptCount val="10"/>
                <c:pt idx="0">
                  <c:v>10</c:v>
                </c:pt>
                <c:pt idx="1">
                  <c:v>20</c:v>
                </c:pt>
                <c:pt idx="2">
                  <c:v>30</c:v>
                </c:pt>
                <c:pt idx="3">
                  <c:v>40</c:v>
                </c:pt>
                <c:pt idx="4">
                  <c:v>50</c:v>
                </c:pt>
                <c:pt idx="5">
                  <c:v>60</c:v>
                </c:pt>
              </c:numCache>
            </c:numRef>
          </c:yVal>
          <c:smooth val="1"/>
          <c:extLst>
            <c:ext xmlns:c16="http://schemas.microsoft.com/office/drawing/2014/chart" uri="{C3380CC4-5D6E-409C-BE32-E72D297353CC}">
              <c16:uniqueId val="{00000000-57DA-41A4-B2A2-3F072D6DEBA2}"/>
            </c:ext>
          </c:extLst>
        </c:ser>
        <c:ser>
          <c:idx val="1"/>
          <c:order val="1"/>
          <c:tx>
            <c:v>core</c:v>
          </c:tx>
          <c:xVal>
            <c:numRef>
              <c:f>SiteB_PitCore_20250507!$P$25:$P$54</c:f>
              <c:numCache>
                <c:formatCode>0.00</c:formatCode>
                <c:ptCount val="30"/>
                <c:pt idx="0">
                  <c:v>0.44300223698414543</c:v>
                </c:pt>
                <c:pt idx="1">
                  <c:v>0.3740735672436053</c:v>
                </c:pt>
                <c:pt idx="2">
                  <c:v>0.38907401104284761</c:v>
                </c:pt>
                <c:pt idx="3">
                  <c:v>0.41894335243318181</c:v>
                </c:pt>
                <c:pt idx="4">
                  <c:v>0.45738925266097469</c:v>
                </c:pt>
                <c:pt idx="5">
                  <c:v>0.45255939184294036</c:v>
                </c:pt>
                <c:pt idx="6">
                  <c:v>0.4826392792406215</c:v>
                </c:pt>
                <c:pt idx="7">
                  <c:v>0.49852830021403355</c:v>
                </c:pt>
                <c:pt idx="8">
                  <c:v>0.49747261965039041</c:v>
                </c:pt>
                <c:pt idx="9">
                  <c:v>0.50691798261867371</c:v>
                </c:pt>
                <c:pt idx="10">
                  <c:v>0.51590133927267556</c:v>
                </c:pt>
                <c:pt idx="11">
                  <c:v>0.51564025559895466</c:v>
                </c:pt>
              </c:numCache>
            </c:numRef>
          </c:xVal>
          <c:yVal>
            <c:numRef>
              <c:f>SiteB_PitCore_20250507!$C$25:$C$54</c:f>
              <c:numCache>
                <c:formatCode>??0</c:formatCode>
                <c:ptCount val="30"/>
                <c:pt idx="0">
                  <c:v>91.2</c:v>
                </c:pt>
                <c:pt idx="1">
                  <c:v>113.2</c:v>
                </c:pt>
                <c:pt idx="2">
                  <c:v>155</c:v>
                </c:pt>
                <c:pt idx="3">
                  <c:v>201.3</c:v>
                </c:pt>
                <c:pt idx="4">
                  <c:v>236</c:v>
                </c:pt>
                <c:pt idx="5">
                  <c:v>274.5</c:v>
                </c:pt>
                <c:pt idx="6">
                  <c:v>322</c:v>
                </c:pt>
                <c:pt idx="7">
                  <c:v>365.4</c:v>
                </c:pt>
                <c:pt idx="8">
                  <c:v>404</c:v>
                </c:pt>
                <c:pt idx="9">
                  <c:v>446.5</c:v>
                </c:pt>
                <c:pt idx="10">
                  <c:v>486</c:v>
                </c:pt>
                <c:pt idx="11">
                  <c:v>526</c:v>
                </c:pt>
              </c:numCache>
            </c:numRef>
          </c:yVal>
          <c:smooth val="1"/>
          <c:extLst>
            <c:ext xmlns:c16="http://schemas.microsoft.com/office/drawing/2014/chart" uri="{C3380CC4-5D6E-409C-BE32-E72D297353CC}">
              <c16:uniqueId val="{00000001-57DA-41A4-B2A2-3F072D6DEBA2}"/>
            </c:ext>
          </c:extLst>
        </c:ser>
        <c:ser>
          <c:idx val="2"/>
          <c:order val="2"/>
          <c:tx>
            <c:v>firn</c:v>
          </c:tx>
          <c:xVal>
            <c:numRef>
              <c:f>SiteB_PitCore_20250507!$P$52:$P$54</c:f>
              <c:numCache>
                <c:formatCode>0.00</c:formatCode>
                <c:ptCount val="3"/>
              </c:numCache>
            </c:numRef>
          </c:xVal>
          <c:yVal>
            <c:numRef>
              <c:f>SiteB_PitCore_20250507!$C$52:$C$54</c:f>
              <c:numCache>
                <c:formatCode>??0</c:formatCode>
                <c:ptCount val="3"/>
              </c:numCache>
            </c:numRef>
          </c:yVal>
          <c:smooth val="1"/>
          <c:extLst>
            <c:ext xmlns:c16="http://schemas.microsoft.com/office/drawing/2014/chart" uri="{C3380CC4-5D6E-409C-BE32-E72D297353CC}">
              <c16:uniqueId val="{00000002-57DA-41A4-B2A2-3F072D6DEBA2}"/>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SiteS_PitCore_20250507!$P$13:$P$18</c:f>
              <c:numCache>
                <c:formatCode>0.00</c:formatCode>
                <c:ptCount val="6"/>
                <c:pt idx="0">
                  <c:v>0.25</c:v>
                </c:pt>
                <c:pt idx="1">
                  <c:v>0.245</c:v>
                </c:pt>
                <c:pt idx="2">
                  <c:v>0.26500000000000001</c:v>
                </c:pt>
                <c:pt idx="3">
                  <c:v>0.28000000000000003</c:v>
                </c:pt>
                <c:pt idx="4">
                  <c:v>0.31</c:v>
                </c:pt>
                <c:pt idx="5">
                  <c:v>0.32500000000000001</c:v>
                </c:pt>
              </c:numCache>
            </c:numRef>
          </c:xVal>
          <c:yVal>
            <c:numRef>
              <c:f>SiteS_PitCore_20250507!$C$13:$C$18</c:f>
              <c:numCache>
                <c:formatCode>??0</c:formatCode>
                <c:ptCount val="6"/>
                <c:pt idx="0">
                  <c:v>10</c:v>
                </c:pt>
                <c:pt idx="1">
                  <c:v>20</c:v>
                </c:pt>
                <c:pt idx="2">
                  <c:v>30</c:v>
                </c:pt>
                <c:pt idx="3">
                  <c:v>40</c:v>
                </c:pt>
                <c:pt idx="4">
                  <c:v>50</c:v>
                </c:pt>
                <c:pt idx="5">
                  <c:v>60</c:v>
                </c:pt>
              </c:numCache>
            </c:numRef>
          </c:yVal>
          <c:smooth val="1"/>
          <c:extLst>
            <c:ext xmlns:c16="http://schemas.microsoft.com/office/drawing/2014/chart" uri="{C3380CC4-5D6E-409C-BE32-E72D297353CC}">
              <c16:uniqueId val="{00000000-D14E-430C-9B8C-8EC8DF2B6320}"/>
            </c:ext>
          </c:extLst>
        </c:ser>
        <c:ser>
          <c:idx val="1"/>
          <c:order val="1"/>
          <c:tx>
            <c:v>core</c:v>
          </c:tx>
          <c:xVal>
            <c:numRef>
              <c:f>SiteS_PitCore_20250507!$P$21:$P$40</c:f>
              <c:numCache>
                <c:formatCode>0.00</c:formatCode>
                <c:ptCount val="20"/>
                <c:pt idx="0">
                  <c:v>0.35193698998647094</c:v>
                </c:pt>
                <c:pt idx="1">
                  <c:v>0.40182874886633124</c:v>
                </c:pt>
                <c:pt idx="2">
                  <c:v>0.30091292058881852</c:v>
                </c:pt>
                <c:pt idx="3">
                  <c:v>0.399280680939266</c:v>
                </c:pt>
                <c:pt idx="4">
                  <c:v>0.3740735672436053</c:v>
                </c:pt>
                <c:pt idx="5">
                  <c:v>0.43542954917245058</c:v>
                </c:pt>
                <c:pt idx="6">
                  <c:v>0.45720102663107309</c:v>
                </c:pt>
                <c:pt idx="7">
                  <c:v>0.47256912836657128</c:v>
                </c:pt>
                <c:pt idx="8">
                  <c:v>0.4838106101916117</c:v>
                </c:pt>
                <c:pt idx="9">
                  <c:v>0.47554777729845155</c:v>
                </c:pt>
                <c:pt idx="10">
                  <c:v>0.505889967129447</c:v>
                </c:pt>
                <c:pt idx="11">
                  <c:v>0.52726559954336738</c:v>
                </c:pt>
                <c:pt idx="12">
                  <c:v>0.5260943320138376</c:v>
                </c:pt>
                <c:pt idx="13">
                  <c:v>0.52881082598292783</c:v>
                </c:pt>
                <c:pt idx="14">
                  <c:v>0.54117672540004569</c:v>
                </c:pt>
                <c:pt idx="15">
                  <c:v>0.54297540167889913</c:v>
                </c:pt>
                <c:pt idx="16">
                  <c:v>0.54716241462047566</c:v>
                </c:pt>
                <c:pt idx="17">
                  <c:v>0.55075953787218068</c:v>
                </c:pt>
                <c:pt idx="18">
                  <c:v>0.56861976421343541</c:v>
                </c:pt>
                <c:pt idx="19">
                  <c:v>0.47390936979699266</c:v>
                </c:pt>
              </c:numCache>
            </c:numRef>
          </c:xVal>
          <c:yVal>
            <c:numRef>
              <c:f>SiteS_PitCore_20250507!$C$21:$C$40</c:f>
              <c:numCache>
                <c:formatCode>??0</c:formatCode>
                <c:ptCount val="20"/>
                <c:pt idx="0">
                  <c:v>109.7</c:v>
                </c:pt>
                <c:pt idx="1">
                  <c:v>157</c:v>
                </c:pt>
                <c:pt idx="2">
                  <c:v>188</c:v>
                </c:pt>
                <c:pt idx="3">
                  <c:v>241</c:v>
                </c:pt>
                <c:pt idx="4">
                  <c:v>285</c:v>
                </c:pt>
                <c:pt idx="5">
                  <c:v>330</c:v>
                </c:pt>
                <c:pt idx="6">
                  <c:v>371</c:v>
                </c:pt>
                <c:pt idx="7">
                  <c:v>405</c:v>
                </c:pt>
                <c:pt idx="8">
                  <c:v>442.5</c:v>
                </c:pt>
                <c:pt idx="9">
                  <c:v>487</c:v>
                </c:pt>
                <c:pt idx="10">
                  <c:v>543.5</c:v>
                </c:pt>
                <c:pt idx="11">
                  <c:v>571</c:v>
                </c:pt>
                <c:pt idx="12">
                  <c:v>604.5</c:v>
                </c:pt>
                <c:pt idx="13">
                  <c:v>646</c:v>
                </c:pt>
                <c:pt idx="14">
                  <c:v>686.5</c:v>
                </c:pt>
                <c:pt idx="15">
                  <c:v>728</c:v>
                </c:pt>
                <c:pt idx="16">
                  <c:v>752.5</c:v>
                </c:pt>
                <c:pt idx="17">
                  <c:v>808</c:v>
                </c:pt>
                <c:pt idx="18">
                  <c:v>861.5</c:v>
                </c:pt>
                <c:pt idx="19">
                  <c:v>883</c:v>
                </c:pt>
              </c:numCache>
            </c:numRef>
          </c:yVal>
          <c:smooth val="1"/>
          <c:extLst>
            <c:ext xmlns:c16="http://schemas.microsoft.com/office/drawing/2014/chart" uri="{C3380CC4-5D6E-409C-BE32-E72D297353CC}">
              <c16:uniqueId val="{00000001-D14E-430C-9B8C-8EC8DF2B6320}"/>
            </c:ext>
          </c:extLst>
        </c:ser>
        <c:ser>
          <c:idx val="2"/>
          <c:order val="2"/>
          <c:tx>
            <c:v>firn</c:v>
          </c:tx>
          <c:xVal>
            <c:numRef>
              <c:f>SiteB_PitCore_20250507!$P$52:$P$54</c:f>
              <c:numCache>
                <c:formatCode>0.00</c:formatCode>
                <c:ptCount val="3"/>
              </c:numCache>
            </c:numRef>
          </c:xVal>
          <c:yVal>
            <c:numRef>
              <c:f>SiteB_PitCore_20250507!$C$52:$C$54</c:f>
              <c:numCache>
                <c:formatCode>??0</c:formatCode>
                <c:ptCount val="3"/>
              </c:numCache>
            </c:numRef>
          </c:yVal>
          <c:smooth val="1"/>
          <c:extLst>
            <c:ext xmlns:c16="http://schemas.microsoft.com/office/drawing/2014/chart" uri="{C3380CC4-5D6E-409C-BE32-E72D297353CC}">
              <c16:uniqueId val="{00000002-D14E-430C-9B8C-8EC8DF2B632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SiteC_PitCore_20250508!$P$13:$P$22</c:f>
              <c:numCache>
                <c:formatCode>0.00</c:formatCode>
                <c:ptCount val="10"/>
                <c:pt idx="0">
                  <c:v>0.24</c:v>
                </c:pt>
                <c:pt idx="1">
                  <c:v>0.22</c:v>
                </c:pt>
                <c:pt idx="2">
                  <c:v>0.255</c:v>
                </c:pt>
                <c:pt idx="3">
                  <c:v>0.26</c:v>
                </c:pt>
                <c:pt idx="4">
                  <c:v>0.28499999999999998</c:v>
                </c:pt>
                <c:pt idx="5">
                  <c:v>0.3</c:v>
                </c:pt>
                <c:pt idx="6">
                  <c:v>0.3</c:v>
                </c:pt>
                <c:pt idx="7">
                  <c:v>0.3</c:v>
                </c:pt>
              </c:numCache>
            </c:numRef>
          </c:xVal>
          <c:yVal>
            <c:numRef>
              <c:f>SiteC_PitCore_20250508!$C$13:$C$22</c:f>
              <c:numCache>
                <c:formatCode>??0</c:formatCode>
                <c:ptCount val="10"/>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8400-4234-B1AA-2EE08875C986}"/>
            </c:ext>
          </c:extLst>
        </c:ser>
        <c:ser>
          <c:idx val="1"/>
          <c:order val="1"/>
          <c:tx>
            <c:v>core</c:v>
          </c:tx>
          <c:xVal>
            <c:numRef>
              <c:f>SiteC_PitCore_20250508!$P$25:$P$54</c:f>
              <c:numCache>
                <c:formatCode>0.00</c:formatCode>
                <c:ptCount val="30"/>
                <c:pt idx="0">
                  <c:v>0.38345892556154521</c:v>
                </c:pt>
                <c:pt idx="1">
                  <c:v>0.39188659425520544</c:v>
                </c:pt>
                <c:pt idx="2">
                  <c:v>0.42571853044989949</c:v>
                </c:pt>
                <c:pt idx="3">
                  <c:v>0.45798794750307142</c:v>
                </c:pt>
                <c:pt idx="4">
                  <c:v>0.45720102663107304</c:v>
                </c:pt>
                <c:pt idx="5">
                  <c:v>0.4772480306276265</c:v>
                </c:pt>
                <c:pt idx="6">
                  <c:v>0.50714735727144244</c:v>
                </c:pt>
                <c:pt idx="7">
                  <c:v>0.49638968605659362</c:v>
                </c:pt>
                <c:pt idx="8">
                  <c:v>0.52641482810400742</c:v>
                </c:pt>
                <c:pt idx="9">
                  <c:v>0.50911762672471139</c:v>
                </c:pt>
                <c:pt idx="10">
                  <c:v>0.54864123195728765</c:v>
                </c:pt>
                <c:pt idx="11">
                  <c:v>0.53272083906566992</c:v>
                </c:pt>
                <c:pt idx="12">
                  <c:v>0.55353981438547772</c:v>
                </c:pt>
                <c:pt idx="13">
                  <c:v>0.52443647172387786</c:v>
                </c:pt>
                <c:pt idx="14">
                  <c:v>0.56227207001833834</c:v>
                </c:pt>
                <c:pt idx="15">
                  <c:v>0.53476191507741588</c:v>
                </c:pt>
                <c:pt idx="16">
                  <c:v>0.61485655305558107</c:v>
                </c:pt>
                <c:pt idx="17">
                  <c:v>0.60649115777591334</c:v>
                </c:pt>
                <c:pt idx="18">
                  <c:v>0.61735559368970738</c:v>
                </c:pt>
              </c:numCache>
            </c:numRef>
          </c:xVal>
          <c:yVal>
            <c:numRef>
              <c:f>SiteC_PitCore_20250508!$C$25:$C$54</c:f>
              <c:numCache>
                <c:formatCode>??0</c:formatCode>
                <c:ptCount val="30"/>
                <c:pt idx="0">
                  <c:v>162</c:v>
                </c:pt>
                <c:pt idx="1">
                  <c:v>234</c:v>
                </c:pt>
                <c:pt idx="2">
                  <c:v>303</c:v>
                </c:pt>
                <c:pt idx="3">
                  <c:v>342</c:v>
                </c:pt>
                <c:pt idx="4">
                  <c:v>393</c:v>
                </c:pt>
                <c:pt idx="5">
                  <c:v>445</c:v>
                </c:pt>
                <c:pt idx="6">
                  <c:v>478</c:v>
                </c:pt>
                <c:pt idx="7">
                  <c:v>523</c:v>
                </c:pt>
                <c:pt idx="8">
                  <c:v>595</c:v>
                </c:pt>
                <c:pt idx="9">
                  <c:v>644</c:v>
                </c:pt>
                <c:pt idx="10">
                  <c:v>664</c:v>
                </c:pt>
                <c:pt idx="11">
                  <c:v>727</c:v>
                </c:pt>
                <c:pt idx="12">
                  <c:v>767</c:v>
                </c:pt>
                <c:pt idx="13">
                  <c:v>800</c:v>
                </c:pt>
                <c:pt idx="14">
                  <c:v>846</c:v>
                </c:pt>
                <c:pt idx="15">
                  <c:v>893</c:v>
                </c:pt>
                <c:pt idx="16">
                  <c:v>922</c:v>
                </c:pt>
                <c:pt idx="17">
                  <c:v>960.5</c:v>
                </c:pt>
                <c:pt idx="18">
                  <c:v>997</c:v>
                </c:pt>
              </c:numCache>
            </c:numRef>
          </c:yVal>
          <c:smooth val="1"/>
          <c:extLst>
            <c:ext xmlns:c16="http://schemas.microsoft.com/office/drawing/2014/chart" uri="{C3380CC4-5D6E-409C-BE32-E72D297353CC}">
              <c16:uniqueId val="{00000001-8400-4234-B1AA-2EE08875C986}"/>
            </c:ext>
          </c:extLst>
        </c:ser>
        <c:ser>
          <c:idx val="2"/>
          <c:order val="2"/>
          <c:tx>
            <c:v>firn</c:v>
          </c:tx>
          <c:xVal>
            <c:numRef>
              <c:f>SiteC_PitCore_20250508!$P$52:$P$54</c:f>
              <c:numCache>
                <c:formatCode>0.00</c:formatCode>
                <c:ptCount val="3"/>
              </c:numCache>
            </c:numRef>
          </c:xVal>
          <c:yVal>
            <c:numRef>
              <c:f>SiteC_PitCore_20250508!$C$52:$C$54</c:f>
              <c:numCache>
                <c:formatCode>??0</c:formatCode>
                <c:ptCount val="3"/>
              </c:numCache>
            </c:numRef>
          </c:yVal>
          <c:smooth val="1"/>
          <c:extLst>
            <c:ext xmlns:c16="http://schemas.microsoft.com/office/drawing/2014/chart" uri="{C3380CC4-5D6E-409C-BE32-E72D297353CC}">
              <c16:uniqueId val="{00000002-8400-4234-B1AA-2EE08875C986}"/>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SiteTU_PitCore_20250508!$P$13:$P$21</c:f>
              <c:numCache>
                <c:formatCode>0.00</c:formatCode>
                <c:ptCount val="9"/>
                <c:pt idx="0">
                  <c:v>0.25</c:v>
                </c:pt>
                <c:pt idx="1">
                  <c:v>0.28000000000000003</c:v>
                </c:pt>
                <c:pt idx="2">
                  <c:v>0.28499999999999998</c:v>
                </c:pt>
                <c:pt idx="3">
                  <c:v>0.28000000000000003</c:v>
                </c:pt>
                <c:pt idx="4">
                  <c:v>0.28000000000000003</c:v>
                </c:pt>
                <c:pt idx="5">
                  <c:v>0.29499999999999998</c:v>
                </c:pt>
                <c:pt idx="6">
                  <c:v>0.3</c:v>
                </c:pt>
                <c:pt idx="7">
                  <c:v>0.32</c:v>
                </c:pt>
                <c:pt idx="8">
                  <c:v>0.315</c:v>
                </c:pt>
              </c:numCache>
            </c:numRef>
          </c:xVal>
          <c:yVal>
            <c:numRef>
              <c:f>SiteTU_PitCore_20250508!$C$13:$C$21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FC1D-40EE-8476-EFF6F78F7F5F}"/>
            </c:ext>
          </c:extLst>
        </c:ser>
        <c:ser>
          <c:idx val="1"/>
          <c:order val="1"/>
          <c:tx>
            <c:v>core</c:v>
          </c:tx>
          <c:xVal>
            <c:numRef>
              <c:f>SiteTU_PitCore_20250508!$P$24:$P$53</c:f>
              <c:numCache>
                <c:formatCode>0.00</c:formatCode>
                <c:ptCount val="30"/>
                <c:pt idx="0">
                  <c:v>0.38345892556154521</c:v>
                </c:pt>
                <c:pt idx="1">
                  <c:v>0.41464129972808839</c:v>
                </c:pt>
                <c:pt idx="2">
                  <c:v>0.45804926601257784</c:v>
                </c:pt>
                <c:pt idx="3">
                  <c:v>0.48495966039081678</c:v>
                </c:pt>
                <c:pt idx="4">
                  <c:v>0.50301861352160704</c:v>
                </c:pt>
                <c:pt idx="5">
                  <c:v>0.5187832057283196</c:v>
                </c:pt>
                <c:pt idx="6">
                  <c:v>0.51729030441687129</c:v>
                </c:pt>
                <c:pt idx="7">
                  <c:v>0.53184609220349321</c:v>
                </c:pt>
                <c:pt idx="8">
                  <c:v>0.5497298058302188</c:v>
                </c:pt>
                <c:pt idx="9">
                  <c:v>0.53993264097383864</c:v>
                </c:pt>
                <c:pt idx="10">
                  <c:v>0.55220383735960765</c:v>
                </c:pt>
                <c:pt idx="11">
                  <c:v>0.55593214533877988</c:v>
                </c:pt>
                <c:pt idx="12">
                  <c:v>0.56916862498970322</c:v>
                </c:pt>
                <c:pt idx="13">
                  <c:v>0.48985824281900686</c:v>
                </c:pt>
              </c:numCache>
            </c:numRef>
          </c:xVal>
          <c:yVal>
            <c:numRef>
              <c:f>SiteTU_PitCore_20250508!$C$24:$C$53</c:f>
              <c:numCache>
                <c:formatCode>??0</c:formatCode>
                <c:ptCount val="30"/>
                <c:pt idx="0">
                  <c:v>189</c:v>
                </c:pt>
                <c:pt idx="1">
                  <c:v>266</c:v>
                </c:pt>
                <c:pt idx="2">
                  <c:v>343</c:v>
                </c:pt>
                <c:pt idx="3">
                  <c:v>421</c:v>
                </c:pt>
                <c:pt idx="4">
                  <c:v>452.5</c:v>
                </c:pt>
                <c:pt idx="5">
                  <c:v>505</c:v>
                </c:pt>
                <c:pt idx="6">
                  <c:v>555</c:v>
                </c:pt>
                <c:pt idx="7">
                  <c:v>583</c:v>
                </c:pt>
                <c:pt idx="8">
                  <c:v>620</c:v>
                </c:pt>
                <c:pt idx="9">
                  <c:v>665</c:v>
                </c:pt>
                <c:pt idx="10">
                  <c:v>716.5</c:v>
                </c:pt>
                <c:pt idx="11">
                  <c:v>738</c:v>
                </c:pt>
                <c:pt idx="12">
                  <c:v>782</c:v>
                </c:pt>
                <c:pt idx="13">
                  <c:v>814</c:v>
                </c:pt>
              </c:numCache>
            </c:numRef>
          </c:yVal>
          <c:smooth val="1"/>
          <c:extLst>
            <c:ext xmlns:c16="http://schemas.microsoft.com/office/drawing/2014/chart" uri="{C3380CC4-5D6E-409C-BE32-E72D297353CC}">
              <c16:uniqueId val="{00000001-FC1D-40EE-8476-EFF6F78F7F5F}"/>
            </c:ext>
          </c:extLst>
        </c:ser>
        <c:ser>
          <c:idx val="2"/>
          <c:order val="2"/>
          <c:tx>
            <c:v>firn</c:v>
          </c:tx>
          <c:xVal>
            <c:numRef>
              <c:f>SiteTU_PitCore_20250508!$P$51:$P$53</c:f>
              <c:numCache>
                <c:formatCode>0.00</c:formatCode>
                <c:ptCount val="3"/>
              </c:numCache>
            </c:numRef>
          </c:xVal>
          <c:yVal>
            <c:numRef>
              <c:f>SiteTU_PitCore_20250508!$C$51:$C$53</c:f>
              <c:numCache>
                <c:formatCode>??0</c:formatCode>
                <c:ptCount val="3"/>
              </c:numCache>
            </c:numRef>
          </c:yVal>
          <c:smooth val="1"/>
          <c:extLst>
            <c:ext xmlns:c16="http://schemas.microsoft.com/office/drawing/2014/chart" uri="{C3380CC4-5D6E-409C-BE32-E72D297353CC}">
              <c16:uniqueId val="{00000002-FC1D-40EE-8476-EFF6F78F7F5F}"/>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SiteY_PitCore_20250508!$P$13:$P$21</c:f>
              <c:numCache>
                <c:formatCode>0.00</c:formatCode>
                <c:ptCount val="9"/>
                <c:pt idx="0">
                  <c:v>0.22</c:v>
                </c:pt>
                <c:pt idx="1">
                  <c:v>0.24</c:v>
                </c:pt>
                <c:pt idx="2">
                  <c:v>0.255</c:v>
                </c:pt>
                <c:pt idx="3">
                  <c:v>0.23499999999999999</c:v>
                </c:pt>
                <c:pt idx="4">
                  <c:v>0.29499999999999998</c:v>
                </c:pt>
                <c:pt idx="5">
                  <c:v>0.3</c:v>
                </c:pt>
                <c:pt idx="6">
                  <c:v>0.30499999999999999</c:v>
                </c:pt>
                <c:pt idx="7">
                  <c:v>0.30499999999999999</c:v>
                </c:pt>
                <c:pt idx="8">
                  <c:v>0.28999999999999998</c:v>
                </c:pt>
              </c:numCache>
            </c:numRef>
          </c:xVal>
          <c:yVal>
            <c:numRef>
              <c:f>SiteY_PitCore_20250508!$C$13:$C$21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E441-4678-80DE-6D20F3FCAA29}"/>
            </c:ext>
          </c:extLst>
        </c:ser>
        <c:ser>
          <c:idx val="1"/>
          <c:order val="1"/>
          <c:tx>
            <c:v>core</c:v>
          </c:tx>
          <c:xVal>
            <c:numRef>
              <c:f>SiteY_PitCore_20250508!$P$24:$P$53</c:f>
              <c:numCache>
                <c:formatCode>0.00</c:formatCode>
                <c:ptCount val="30"/>
                <c:pt idx="0">
                  <c:v>0.34684215813391756</c:v>
                </c:pt>
                <c:pt idx="1">
                  <c:v>0.39756611011397658</c:v>
                </c:pt>
                <c:pt idx="2">
                  <c:v>0.40390765542867813</c:v>
                </c:pt>
                <c:pt idx="3">
                  <c:v>0.44320507683624433</c:v>
                </c:pt>
                <c:pt idx="4">
                  <c:v>0.43357665747384433</c:v>
                </c:pt>
                <c:pt idx="5">
                  <c:v>0.48985824281900686</c:v>
                </c:pt>
                <c:pt idx="6">
                  <c:v>0.50509827704004262</c:v>
                </c:pt>
                <c:pt idx="7">
                  <c:v>0.50316303459927614</c:v>
                </c:pt>
                <c:pt idx="8">
                  <c:v>0.51947757843131892</c:v>
                </c:pt>
                <c:pt idx="9">
                  <c:v>0.53525973849491493</c:v>
                </c:pt>
                <c:pt idx="10">
                  <c:v>0.52859122015818416</c:v>
                </c:pt>
                <c:pt idx="11">
                  <c:v>0.5382538764469087</c:v>
                </c:pt>
                <c:pt idx="12">
                  <c:v>0.54681850361191464</c:v>
                </c:pt>
                <c:pt idx="13">
                  <c:v>0.56708295403988562</c:v>
                </c:pt>
                <c:pt idx="14">
                  <c:v>0.55109052317138274</c:v>
                </c:pt>
                <c:pt idx="15">
                  <c:v>0.55689147604687095</c:v>
                </c:pt>
                <c:pt idx="16">
                  <c:v>0.52873588113797565</c:v>
                </c:pt>
                <c:pt idx="17">
                  <c:v>0.58014584051505913</c:v>
                </c:pt>
                <c:pt idx="18">
                  <c:v>0.55220383735960776</c:v>
                </c:pt>
                <c:pt idx="19">
                  <c:v>0.57573462612801796</c:v>
                </c:pt>
              </c:numCache>
            </c:numRef>
          </c:xVal>
          <c:yVal>
            <c:numRef>
              <c:f>SiteY_PitCore_20250508!$C$24:$C$53</c:f>
              <c:numCache>
                <c:formatCode>??0</c:formatCode>
                <c:ptCount val="30"/>
                <c:pt idx="0">
                  <c:v>185</c:v>
                </c:pt>
                <c:pt idx="1">
                  <c:v>256</c:v>
                </c:pt>
                <c:pt idx="2">
                  <c:v>337</c:v>
                </c:pt>
                <c:pt idx="3">
                  <c:v>422</c:v>
                </c:pt>
                <c:pt idx="4">
                  <c:v>468</c:v>
                </c:pt>
                <c:pt idx="5">
                  <c:v>508</c:v>
                </c:pt>
                <c:pt idx="6">
                  <c:v>553.5</c:v>
                </c:pt>
                <c:pt idx="7">
                  <c:v>594</c:v>
                </c:pt>
                <c:pt idx="8">
                  <c:v>638</c:v>
                </c:pt>
                <c:pt idx="9">
                  <c:v>679</c:v>
                </c:pt>
                <c:pt idx="10">
                  <c:v>722.5</c:v>
                </c:pt>
                <c:pt idx="11">
                  <c:v>764</c:v>
                </c:pt>
                <c:pt idx="12">
                  <c:v>806.5</c:v>
                </c:pt>
                <c:pt idx="13">
                  <c:v>849</c:v>
                </c:pt>
                <c:pt idx="14">
                  <c:v>897</c:v>
                </c:pt>
                <c:pt idx="15">
                  <c:v>935</c:v>
                </c:pt>
                <c:pt idx="16">
                  <c:v>965</c:v>
                </c:pt>
                <c:pt idx="17">
                  <c:v>1016</c:v>
                </c:pt>
                <c:pt idx="18">
                  <c:v>1059.5</c:v>
                </c:pt>
                <c:pt idx="19">
                  <c:v>1100</c:v>
                </c:pt>
              </c:numCache>
            </c:numRef>
          </c:yVal>
          <c:smooth val="1"/>
          <c:extLst>
            <c:ext xmlns:c16="http://schemas.microsoft.com/office/drawing/2014/chart" uri="{C3380CC4-5D6E-409C-BE32-E72D297353CC}">
              <c16:uniqueId val="{00000001-E441-4678-80DE-6D20F3FCAA29}"/>
            </c:ext>
          </c:extLst>
        </c:ser>
        <c:ser>
          <c:idx val="2"/>
          <c:order val="2"/>
          <c:tx>
            <c:v>firn</c:v>
          </c:tx>
          <c:xVal>
            <c:numRef>
              <c:f>SiteY_PitCore_20250508!$P$51:$P$53</c:f>
              <c:numCache>
                <c:formatCode>0.00</c:formatCode>
                <c:ptCount val="3"/>
              </c:numCache>
            </c:numRef>
          </c:xVal>
          <c:yVal>
            <c:numRef>
              <c:f>SiteY_PitCore_20250508!$C$51:$C$53</c:f>
              <c:numCache>
                <c:formatCode>??0</c:formatCode>
                <c:ptCount val="3"/>
              </c:numCache>
            </c:numRef>
          </c:yVal>
          <c:smooth val="1"/>
          <c:extLst>
            <c:ext xmlns:c16="http://schemas.microsoft.com/office/drawing/2014/chart" uri="{C3380CC4-5D6E-409C-BE32-E72D297353CC}">
              <c16:uniqueId val="{00000002-E441-4678-80DE-6D20F3FCAA29}"/>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xVal>
            <c:numRef>
              <c:f>SiteEC_FirnCore_20250509!$P$25:$P$80</c:f>
              <c:numCache>
                <c:formatCode>0.00</c:formatCode>
                <c:ptCount val="56"/>
                <c:pt idx="0">
                  <c:v>0.34503058842034401</c:v>
                </c:pt>
                <c:pt idx="1">
                  <c:v>0.38311301378680535</c:v>
                </c:pt>
                <c:pt idx="2">
                  <c:v>0.42534032791113774</c:v>
                </c:pt>
                <c:pt idx="3">
                  <c:v>0.42787617944190809</c:v>
                </c:pt>
                <c:pt idx="4">
                  <c:v>0.4602389072066948</c:v>
                </c:pt>
                <c:pt idx="5">
                  <c:v>0.47227358794858104</c:v>
                </c:pt>
                <c:pt idx="6">
                  <c:v>0.47281969524269363</c:v>
                </c:pt>
                <c:pt idx="7">
                  <c:v>0.4857185956965927</c:v>
                </c:pt>
                <c:pt idx="8">
                  <c:v>0.48495966039081678</c:v>
                </c:pt>
                <c:pt idx="9">
                  <c:v>0.49431149957190695</c:v>
                </c:pt>
                <c:pt idx="10">
                  <c:v>0.50241871058359688</c:v>
                </c:pt>
                <c:pt idx="11">
                  <c:v>0.51318482581038816</c:v>
                </c:pt>
                <c:pt idx="12">
                  <c:v>0.52428071393601816</c:v>
                </c:pt>
                <c:pt idx="13">
                  <c:v>0.52819497486571176</c:v>
                </c:pt>
                <c:pt idx="14">
                  <c:v>0.43978384466417508</c:v>
                </c:pt>
                <c:pt idx="15">
                  <c:v>0.5497298058302188</c:v>
                </c:pt>
                <c:pt idx="16">
                  <c:v>0.52251545900694074</c:v>
                </c:pt>
                <c:pt idx="17">
                  <c:v>0.49323657552810346</c:v>
                </c:pt>
                <c:pt idx="18">
                  <c:v>0.52924890564362803</c:v>
                </c:pt>
                <c:pt idx="19">
                  <c:v>0.56333697924185788</c:v>
                </c:pt>
                <c:pt idx="20">
                  <c:v>0.54864123195728776</c:v>
                </c:pt>
                <c:pt idx="21">
                  <c:v>0.57955059713797996</c:v>
                </c:pt>
                <c:pt idx="22">
                  <c:v>0.56135106744664576</c:v>
                </c:pt>
                <c:pt idx="23">
                  <c:v>0.50945257253176712</c:v>
                </c:pt>
                <c:pt idx="24">
                  <c:v>0.59935596768443189</c:v>
                </c:pt>
                <c:pt idx="25">
                  <c:v>0.59814269649478735</c:v>
                </c:pt>
                <c:pt idx="26">
                  <c:v>0.58782989138280828</c:v>
                </c:pt>
                <c:pt idx="27">
                  <c:v>0.58019573694926529</c:v>
                </c:pt>
                <c:pt idx="28">
                  <c:v>0.6183099598248798</c:v>
                </c:pt>
                <c:pt idx="29">
                  <c:v>0.61361190416275602</c:v>
                </c:pt>
                <c:pt idx="30">
                  <c:v>0.6129508269119881</c:v>
                </c:pt>
                <c:pt idx="31">
                  <c:v>0.68456139249643488</c:v>
                </c:pt>
                <c:pt idx="32">
                  <c:v>0.64008143728350231</c:v>
                </c:pt>
                <c:pt idx="33">
                  <c:v>0.69470805345240971</c:v>
                </c:pt>
                <c:pt idx="34">
                  <c:v>0.73872875238912306</c:v>
                </c:pt>
                <c:pt idx="35">
                  <c:v>0.66620721023384932</c:v>
                </c:pt>
                <c:pt idx="36">
                  <c:v>0.69095794250259923</c:v>
                </c:pt>
                <c:pt idx="37">
                  <c:v>0.71252108046400986</c:v>
                </c:pt>
                <c:pt idx="38">
                  <c:v>0.77257642867454801</c:v>
                </c:pt>
                <c:pt idx="39">
                  <c:v>0.77817480859247956</c:v>
                </c:pt>
                <c:pt idx="40">
                  <c:v>0.76367644008706714</c:v>
                </c:pt>
                <c:pt idx="41">
                  <c:v>0.68580153994660964</c:v>
                </c:pt>
                <c:pt idx="42">
                  <c:v>0.73245470592937223</c:v>
                </c:pt>
                <c:pt idx="43">
                  <c:v>0.76673464093409782</c:v>
                </c:pt>
                <c:pt idx="44">
                  <c:v>0.77189783716934413</c:v>
                </c:pt>
                <c:pt idx="45">
                  <c:v>0.7082287847985641</c:v>
                </c:pt>
                <c:pt idx="46">
                  <c:v>0.88013874447480578</c:v>
                </c:pt>
                <c:pt idx="47">
                  <c:v>0.81079985018318379</c:v>
                </c:pt>
                <c:pt idx="48">
                  <c:v>0.7946589272397222</c:v>
                </c:pt>
                <c:pt idx="49">
                  <c:v>0.81079985018318379</c:v>
                </c:pt>
                <c:pt idx="50">
                  <c:v>0.8853734166506495</c:v>
                </c:pt>
                <c:pt idx="51">
                  <c:v>0.81939924253361152</c:v>
                </c:pt>
                <c:pt idx="52">
                  <c:v>0.76072103590716356</c:v>
                </c:pt>
                <c:pt idx="53">
                  <c:v>0.76511192211730594</c:v>
                </c:pt>
                <c:pt idx="54">
                  <c:v>0.76697804875661657</c:v>
                </c:pt>
                <c:pt idx="55">
                  <c:v>0.75764741556006399</c:v>
                </c:pt>
              </c:numCache>
            </c:numRef>
          </c:xVal>
          <c:yVal>
            <c:numRef>
              <c:f>SiteEC_FirnCore_20250509!$C$25:$C$80</c:f>
              <c:numCache>
                <c:formatCode>??0</c:formatCode>
                <c:ptCount val="56"/>
                <c:pt idx="0">
                  <c:v>197</c:v>
                </c:pt>
                <c:pt idx="1">
                  <c:v>267</c:v>
                </c:pt>
                <c:pt idx="2">
                  <c:v>347</c:v>
                </c:pt>
                <c:pt idx="3">
                  <c:v>396</c:v>
                </c:pt>
                <c:pt idx="4">
                  <c:v>439</c:v>
                </c:pt>
                <c:pt idx="5">
                  <c:v>477</c:v>
                </c:pt>
                <c:pt idx="6">
                  <c:v>523</c:v>
                </c:pt>
                <c:pt idx="7">
                  <c:v>559</c:v>
                </c:pt>
                <c:pt idx="8">
                  <c:v>599</c:v>
                </c:pt>
                <c:pt idx="9">
                  <c:v>640</c:v>
                </c:pt>
                <c:pt idx="10">
                  <c:v>679</c:v>
                </c:pt>
                <c:pt idx="11">
                  <c:v>723</c:v>
                </c:pt>
                <c:pt idx="12">
                  <c:v>760</c:v>
                </c:pt>
                <c:pt idx="13">
                  <c:v>794</c:v>
                </c:pt>
                <c:pt idx="14">
                  <c:v>839</c:v>
                </c:pt>
                <c:pt idx="15">
                  <c:v>874.5</c:v>
                </c:pt>
                <c:pt idx="16">
                  <c:v>918</c:v>
                </c:pt>
                <c:pt idx="17">
                  <c:v>935.5</c:v>
                </c:pt>
                <c:pt idx="18">
                  <c:v>984</c:v>
                </c:pt>
                <c:pt idx="19">
                  <c:v>1040</c:v>
                </c:pt>
                <c:pt idx="20">
                  <c:v>1065</c:v>
                </c:pt>
                <c:pt idx="21">
                  <c:v>1106</c:v>
                </c:pt>
                <c:pt idx="22">
                  <c:v>1143</c:v>
                </c:pt>
                <c:pt idx="23">
                  <c:v>1173</c:v>
                </c:pt>
                <c:pt idx="24">
                  <c:v>1224</c:v>
                </c:pt>
                <c:pt idx="25">
                  <c:v>1264</c:v>
                </c:pt>
                <c:pt idx="26">
                  <c:v>1300</c:v>
                </c:pt>
                <c:pt idx="27">
                  <c:v>1338</c:v>
                </c:pt>
                <c:pt idx="28">
                  <c:v>1383</c:v>
                </c:pt>
                <c:pt idx="29">
                  <c:v>1418</c:v>
                </c:pt>
                <c:pt idx="30">
                  <c:v>1457</c:v>
                </c:pt>
                <c:pt idx="31">
                  <c:v>1500</c:v>
                </c:pt>
                <c:pt idx="32">
                  <c:v>1530</c:v>
                </c:pt>
                <c:pt idx="33">
                  <c:v>1558.5</c:v>
                </c:pt>
                <c:pt idx="34">
                  <c:v>1602</c:v>
                </c:pt>
                <c:pt idx="35">
                  <c:v>1644</c:v>
                </c:pt>
                <c:pt idx="36">
                  <c:v>1682</c:v>
                </c:pt>
                <c:pt idx="37">
                  <c:v>1741</c:v>
                </c:pt>
                <c:pt idx="38">
                  <c:v>1770</c:v>
                </c:pt>
                <c:pt idx="39">
                  <c:v>1805</c:v>
                </c:pt>
                <c:pt idx="40">
                  <c:v>1844</c:v>
                </c:pt>
                <c:pt idx="41">
                  <c:v>1880</c:v>
                </c:pt>
                <c:pt idx="42">
                  <c:v>1927</c:v>
                </c:pt>
                <c:pt idx="43">
                  <c:v>1950</c:v>
                </c:pt>
                <c:pt idx="44">
                  <c:v>1982.5</c:v>
                </c:pt>
                <c:pt idx="45">
                  <c:v>2024</c:v>
                </c:pt>
                <c:pt idx="46">
                  <c:v>2055</c:v>
                </c:pt>
                <c:pt idx="47">
                  <c:v>2084</c:v>
                </c:pt>
                <c:pt idx="48">
                  <c:v>2120</c:v>
                </c:pt>
                <c:pt idx="49">
                  <c:v>2149</c:v>
                </c:pt>
                <c:pt idx="50">
                  <c:v>2174</c:v>
                </c:pt>
                <c:pt idx="51">
                  <c:v>2207</c:v>
                </c:pt>
                <c:pt idx="52">
                  <c:v>2242.5</c:v>
                </c:pt>
                <c:pt idx="53">
                  <c:v>2274</c:v>
                </c:pt>
                <c:pt idx="54">
                  <c:v>2310</c:v>
                </c:pt>
                <c:pt idx="55">
                  <c:v>2340</c:v>
                </c:pt>
              </c:numCache>
            </c:numRef>
          </c:yVal>
          <c:smooth val="1"/>
          <c:extLst>
            <c:ext xmlns:c16="http://schemas.microsoft.com/office/drawing/2014/chart" uri="{C3380CC4-5D6E-409C-BE32-E72D297353CC}">
              <c16:uniqueId val="{00000000-52B3-449D-A353-BCAE1FD83F7D}"/>
            </c:ext>
          </c:extLst>
        </c:ser>
        <c:ser>
          <c:idx val="1"/>
          <c:order val="1"/>
          <c:tx>
            <c:v>pit</c:v>
          </c:tx>
          <c:spPr>
            <a:ln w="12700">
              <a:solidFill>
                <a:schemeClr val="tx1"/>
              </a:solidFill>
            </a:ln>
          </c:spPr>
          <c:marker>
            <c:symbol val="circle"/>
            <c:size val="5"/>
            <c:spPr>
              <a:solidFill>
                <a:schemeClr val="tx1"/>
              </a:solidFill>
              <a:ln>
                <a:noFill/>
              </a:ln>
            </c:spPr>
          </c:marker>
          <c:xVal>
            <c:numRef>
              <c:f>SiteEC_FirnCore_20250509!$P$13:$P$22</c:f>
              <c:numCache>
                <c:formatCode>0.00</c:formatCode>
                <c:ptCount val="10"/>
                <c:pt idx="0">
                  <c:v>0.25</c:v>
                </c:pt>
                <c:pt idx="1">
                  <c:v>0.24</c:v>
                </c:pt>
                <c:pt idx="2">
                  <c:v>0.25</c:v>
                </c:pt>
                <c:pt idx="3">
                  <c:v>0.23</c:v>
                </c:pt>
                <c:pt idx="4">
                  <c:v>0.245</c:v>
                </c:pt>
                <c:pt idx="5">
                  <c:v>0.315</c:v>
                </c:pt>
                <c:pt idx="6">
                  <c:v>0.3</c:v>
                </c:pt>
                <c:pt idx="7">
                  <c:v>0.31</c:v>
                </c:pt>
                <c:pt idx="8">
                  <c:v>0.32</c:v>
                </c:pt>
                <c:pt idx="9">
                  <c:v>0.32</c:v>
                </c:pt>
              </c:numCache>
            </c:numRef>
          </c:xVal>
          <c:yVal>
            <c:numRef>
              <c:f>SiteEC_FirnCore_20250509!$C$13:$C$22</c:f>
              <c:numCache>
                <c:formatCode>??0</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1-52B3-449D-A353-BCAE1FD83F7D}"/>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571500</xdr:colOff>
      <xdr:row>1</xdr:row>
      <xdr:rowOff>76200</xdr:rowOff>
    </xdr:from>
    <xdr:to>
      <xdr:col>19</xdr:col>
      <xdr:colOff>266700</xdr:colOff>
      <xdr:row>16</xdr:row>
      <xdr:rowOff>76200</xdr:rowOff>
    </xdr:to>
    <xdr:graphicFrame macro="">
      <xdr:nvGraphicFramePr>
        <xdr:cNvPr id="2" name="Chart 1">
          <a:extLst>
            <a:ext uri="{FF2B5EF4-FFF2-40B4-BE49-F238E27FC236}">
              <a16:creationId xmlns:a16="http://schemas.microsoft.com/office/drawing/2014/main" id="{37E5AAC6-BB65-4246-81AD-5F0DCB13F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629E12CC-8EE6-4DDD-96A1-1CD8F839F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AE80C774-978C-4D2E-9983-01E56D34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22</xdr:col>
      <xdr:colOff>163831</xdr:colOff>
      <xdr:row>1</xdr:row>
      <xdr:rowOff>0</xdr:rowOff>
    </xdr:from>
    <xdr:to>
      <xdr:col>30</xdr:col>
      <xdr:colOff>112396</xdr:colOff>
      <xdr:row>41</xdr:row>
      <xdr:rowOff>114300</xdr:rowOff>
    </xdr:to>
    <xdr:graphicFrame macro="">
      <xdr:nvGraphicFramePr>
        <xdr:cNvPr id="3" name="Chart 2">
          <a:extLst>
            <a:ext uri="{FF2B5EF4-FFF2-40B4-BE49-F238E27FC236}">
              <a16:creationId xmlns:a16="http://schemas.microsoft.com/office/drawing/2014/main" id="{76172402-0A79-444C-8CBF-F1519FA13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22</xdr:col>
      <xdr:colOff>323851</xdr:colOff>
      <xdr:row>5</xdr:row>
      <xdr:rowOff>9525</xdr:rowOff>
    </xdr:from>
    <xdr:to>
      <xdr:col>30</xdr:col>
      <xdr:colOff>276226</xdr:colOff>
      <xdr:row>50</xdr:row>
      <xdr:rowOff>104775</xdr:rowOff>
    </xdr:to>
    <xdr:graphicFrame macro="">
      <xdr:nvGraphicFramePr>
        <xdr:cNvPr id="2" name="Chart 1">
          <a:extLst>
            <a:ext uri="{FF2B5EF4-FFF2-40B4-BE49-F238E27FC236}">
              <a16:creationId xmlns:a16="http://schemas.microsoft.com/office/drawing/2014/main" id="{4A21F541-921B-4607-B9FE-B60680EB8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51</xdr:row>
      <xdr:rowOff>30480</xdr:rowOff>
    </xdr:to>
    <xdr:graphicFrame macro="">
      <xdr:nvGraphicFramePr>
        <xdr:cNvPr id="2" name="Chart 1">
          <a:extLst>
            <a:ext uri="{FF2B5EF4-FFF2-40B4-BE49-F238E27FC236}">
              <a16:creationId xmlns:a16="http://schemas.microsoft.com/office/drawing/2014/main" id="{F2E60782-028A-4270-8097-EAEE5EAE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51</xdr:row>
      <xdr:rowOff>30480</xdr:rowOff>
    </xdr:to>
    <xdr:graphicFrame macro="">
      <xdr:nvGraphicFramePr>
        <xdr:cNvPr id="2" name="Chart 1">
          <a:extLst>
            <a:ext uri="{FF2B5EF4-FFF2-40B4-BE49-F238E27FC236}">
              <a16:creationId xmlns:a16="http://schemas.microsoft.com/office/drawing/2014/main" id="{47957273-AB2F-493E-B4C5-D9A3BCD68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33</xdr:col>
      <xdr:colOff>22861</xdr:colOff>
      <xdr:row>6</xdr:row>
      <xdr:rowOff>30480</xdr:rowOff>
    </xdr:from>
    <xdr:to>
      <xdr:col>40</xdr:col>
      <xdr:colOff>335281</xdr:colOff>
      <xdr:row>52</xdr:row>
      <xdr:rowOff>30480</xdr:rowOff>
    </xdr:to>
    <xdr:graphicFrame macro="">
      <xdr:nvGraphicFramePr>
        <xdr:cNvPr id="2" name="Chart 1">
          <a:extLst>
            <a:ext uri="{FF2B5EF4-FFF2-40B4-BE49-F238E27FC236}">
              <a16:creationId xmlns:a16="http://schemas.microsoft.com/office/drawing/2014/main" id="{B9A0523B-CBE5-462A-A288-9ABFCF2FE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361950</xdr:colOff>
      <xdr:row>49</xdr:row>
      <xdr:rowOff>142875</xdr:rowOff>
    </xdr:to>
    <xdr:sp macro="" textlink="">
      <xdr:nvSpPr>
        <xdr:cNvPr id="2" name="AutoShape 5">
          <a:extLst>
            <a:ext uri="{FF2B5EF4-FFF2-40B4-BE49-F238E27FC236}">
              <a16:creationId xmlns:a16="http://schemas.microsoft.com/office/drawing/2014/main" id="{E4A52269-ECD3-471F-BCBA-10D379B7D7F6}"/>
            </a:ext>
          </a:extLst>
        </xdr:cNvPr>
        <xdr:cNvSpPr>
          <a:spLocks noChangeArrowheads="1"/>
        </xdr:cNvSpPr>
      </xdr:nvSpPr>
      <xdr:spPr bwMode="auto">
        <a:xfrm>
          <a:off x="0" y="0"/>
          <a:ext cx="13727430" cy="92640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49</xdr:row>
      <xdr:rowOff>142875</xdr:rowOff>
    </xdr:to>
    <xdr:sp macro="" textlink="">
      <xdr:nvSpPr>
        <xdr:cNvPr id="3" name="AutoShape 5">
          <a:extLst>
            <a:ext uri="{FF2B5EF4-FFF2-40B4-BE49-F238E27FC236}">
              <a16:creationId xmlns:a16="http://schemas.microsoft.com/office/drawing/2014/main" id="{8E5444CB-0224-4929-A068-9CE19354F849}"/>
            </a:ext>
          </a:extLst>
        </xdr:cNvPr>
        <xdr:cNvSpPr>
          <a:spLocks noChangeArrowheads="1"/>
        </xdr:cNvSpPr>
      </xdr:nvSpPr>
      <xdr:spPr bwMode="auto">
        <a:xfrm>
          <a:off x="0" y="0"/>
          <a:ext cx="13727430" cy="92640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49</xdr:row>
      <xdr:rowOff>142875</xdr:rowOff>
    </xdr:to>
    <xdr:sp macro="" textlink="">
      <xdr:nvSpPr>
        <xdr:cNvPr id="4" name="AutoShape 5">
          <a:extLst>
            <a:ext uri="{FF2B5EF4-FFF2-40B4-BE49-F238E27FC236}">
              <a16:creationId xmlns:a16="http://schemas.microsoft.com/office/drawing/2014/main" id="{B470B06F-6CD9-4044-8B3A-794F734C7F71}"/>
            </a:ext>
          </a:extLst>
        </xdr:cNvPr>
        <xdr:cNvSpPr>
          <a:spLocks noChangeArrowheads="1"/>
        </xdr:cNvSpPr>
      </xdr:nvSpPr>
      <xdr:spPr bwMode="auto">
        <a:xfrm>
          <a:off x="0" y="0"/>
          <a:ext cx="13727430" cy="92640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50</xdr:row>
      <xdr:rowOff>142875</xdr:rowOff>
    </xdr:to>
    <xdr:sp macro="" textlink="">
      <xdr:nvSpPr>
        <xdr:cNvPr id="5" name="AutoShape 5">
          <a:extLst>
            <a:ext uri="{FF2B5EF4-FFF2-40B4-BE49-F238E27FC236}">
              <a16:creationId xmlns:a16="http://schemas.microsoft.com/office/drawing/2014/main" id="{9186498C-F016-4C96-B41D-FD94871C3C30}"/>
            </a:ext>
          </a:extLst>
        </xdr:cNvPr>
        <xdr:cNvSpPr>
          <a:spLocks noChangeArrowheads="1"/>
        </xdr:cNvSpPr>
      </xdr:nvSpPr>
      <xdr:spPr bwMode="auto">
        <a:xfrm>
          <a:off x="0" y="0"/>
          <a:ext cx="13727430" cy="94621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50</xdr:row>
      <xdr:rowOff>142875</xdr:rowOff>
    </xdr:to>
    <xdr:sp macro="" textlink="">
      <xdr:nvSpPr>
        <xdr:cNvPr id="6" name="AutoShape 5">
          <a:extLst>
            <a:ext uri="{FF2B5EF4-FFF2-40B4-BE49-F238E27FC236}">
              <a16:creationId xmlns:a16="http://schemas.microsoft.com/office/drawing/2014/main" id="{482A04B1-07E3-49EE-95F0-2C35B4249A17}"/>
            </a:ext>
          </a:extLst>
        </xdr:cNvPr>
        <xdr:cNvSpPr>
          <a:spLocks noChangeArrowheads="1"/>
        </xdr:cNvSpPr>
      </xdr:nvSpPr>
      <xdr:spPr bwMode="auto">
        <a:xfrm>
          <a:off x="0" y="0"/>
          <a:ext cx="13727430" cy="94621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50</xdr:row>
      <xdr:rowOff>142875</xdr:rowOff>
    </xdr:to>
    <xdr:sp macro="" textlink="">
      <xdr:nvSpPr>
        <xdr:cNvPr id="7" name="AutoShape 5">
          <a:extLst>
            <a:ext uri="{FF2B5EF4-FFF2-40B4-BE49-F238E27FC236}">
              <a16:creationId xmlns:a16="http://schemas.microsoft.com/office/drawing/2014/main" id="{EC549C40-9195-4DA9-BD04-D2D7A135B991}"/>
            </a:ext>
          </a:extLst>
        </xdr:cNvPr>
        <xdr:cNvSpPr>
          <a:spLocks noChangeArrowheads="1"/>
        </xdr:cNvSpPr>
      </xdr:nvSpPr>
      <xdr:spPr bwMode="auto">
        <a:xfrm>
          <a:off x="0" y="0"/>
          <a:ext cx="13727430" cy="94621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59</xdr:row>
      <xdr:rowOff>142875</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73</xdr:row>
      <xdr:rowOff>142875</xdr:rowOff>
    </xdr:to>
    <xdr:sp macro="" textlink="">
      <xdr:nvSpPr>
        <xdr:cNvPr id="2" name="AutoShape 5">
          <a:extLst>
            <a:ext uri="{FF2B5EF4-FFF2-40B4-BE49-F238E27FC236}">
              <a16:creationId xmlns:a16="http://schemas.microsoft.com/office/drawing/2014/main" id="{00000000-0008-0000-03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73</xdr:row>
      <xdr:rowOff>142875</xdr:rowOff>
    </xdr:to>
    <xdr:sp macro="" textlink="">
      <xdr:nvSpPr>
        <xdr:cNvPr id="3" name="AutoShape 5">
          <a:extLst>
            <a:ext uri="{FF2B5EF4-FFF2-40B4-BE49-F238E27FC236}">
              <a16:creationId xmlns:a16="http://schemas.microsoft.com/office/drawing/2014/main" id="{00000000-0008-0000-03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73</xdr:row>
      <xdr:rowOff>142875</xdr:rowOff>
    </xdr:to>
    <xdr:sp macro="" textlink="">
      <xdr:nvSpPr>
        <xdr:cNvPr id="4" name="AutoShape 5">
          <a:extLst>
            <a:ext uri="{FF2B5EF4-FFF2-40B4-BE49-F238E27FC236}">
              <a16:creationId xmlns:a16="http://schemas.microsoft.com/office/drawing/2014/main" id="{00000000-0008-0000-03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5" name="AutoShape 5">
          <a:extLst>
            <a:ext uri="{FF2B5EF4-FFF2-40B4-BE49-F238E27FC236}">
              <a16:creationId xmlns:a16="http://schemas.microsoft.com/office/drawing/2014/main" id="{00000000-0008-0000-03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6" name="AutoShape 5">
          <a:extLst>
            <a:ext uri="{FF2B5EF4-FFF2-40B4-BE49-F238E27FC236}">
              <a16:creationId xmlns:a16="http://schemas.microsoft.com/office/drawing/2014/main" id="{00000000-0008-0000-03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142875</xdr:rowOff>
    </xdr:to>
    <xdr:sp macro="" textlink="">
      <xdr:nvSpPr>
        <xdr:cNvPr id="7" name="AutoShape 5">
          <a:extLst>
            <a:ext uri="{FF2B5EF4-FFF2-40B4-BE49-F238E27FC236}">
              <a16:creationId xmlns:a16="http://schemas.microsoft.com/office/drawing/2014/main" id="{00000000-0008-0000-03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98</xdr:row>
      <xdr:rowOff>142875</xdr:rowOff>
    </xdr:to>
    <xdr:sp macro="" textlink="">
      <xdr:nvSpPr>
        <xdr:cNvPr id="2" name="AutoShape 5">
          <a:extLst>
            <a:ext uri="{FF2B5EF4-FFF2-40B4-BE49-F238E27FC236}">
              <a16:creationId xmlns:a16="http://schemas.microsoft.com/office/drawing/2014/main" id="{00000000-0008-0000-04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98</xdr:row>
      <xdr:rowOff>142875</xdr:rowOff>
    </xdr:to>
    <xdr:sp macro="" textlink="">
      <xdr:nvSpPr>
        <xdr:cNvPr id="3" name="AutoShape 5">
          <a:extLst>
            <a:ext uri="{FF2B5EF4-FFF2-40B4-BE49-F238E27FC236}">
              <a16:creationId xmlns:a16="http://schemas.microsoft.com/office/drawing/2014/main" id="{00000000-0008-0000-04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98</xdr:row>
      <xdr:rowOff>142875</xdr:rowOff>
    </xdr:to>
    <xdr:sp macro="" textlink="">
      <xdr:nvSpPr>
        <xdr:cNvPr id="4" name="AutoShape 5">
          <a:extLst>
            <a:ext uri="{FF2B5EF4-FFF2-40B4-BE49-F238E27FC236}">
              <a16:creationId xmlns:a16="http://schemas.microsoft.com/office/drawing/2014/main" id="{00000000-0008-0000-04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142875</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142875</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99</xdr:row>
      <xdr:rowOff>142875</xdr:rowOff>
    </xdr:to>
    <xdr:sp macro="" textlink="">
      <xdr:nvSpPr>
        <xdr:cNvPr id="7" name="AutoShape 5">
          <a:extLst>
            <a:ext uri="{FF2B5EF4-FFF2-40B4-BE49-F238E27FC236}">
              <a16:creationId xmlns:a16="http://schemas.microsoft.com/office/drawing/2014/main" id="{00000000-0008-0000-04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91</xdr:row>
      <xdr:rowOff>142875</xdr:rowOff>
    </xdr:to>
    <xdr:sp macro="" textlink="">
      <xdr:nvSpPr>
        <xdr:cNvPr id="2" name="AutoShape 5">
          <a:extLst>
            <a:ext uri="{FF2B5EF4-FFF2-40B4-BE49-F238E27FC236}">
              <a16:creationId xmlns:a16="http://schemas.microsoft.com/office/drawing/2014/main" id="{00000000-0008-0000-05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91</xdr:row>
      <xdr:rowOff>142875</xdr:rowOff>
    </xdr:to>
    <xdr:sp macro="" textlink="">
      <xdr:nvSpPr>
        <xdr:cNvPr id="3" name="AutoShape 5">
          <a:extLst>
            <a:ext uri="{FF2B5EF4-FFF2-40B4-BE49-F238E27FC236}">
              <a16:creationId xmlns:a16="http://schemas.microsoft.com/office/drawing/2014/main" id="{00000000-0008-0000-05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91</xdr:row>
      <xdr:rowOff>142875</xdr:rowOff>
    </xdr:to>
    <xdr:sp macro="" textlink="">
      <xdr:nvSpPr>
        <xdr:cNvPr id="4" name="AutoShape 5">
          <a:extLst>
            <a:ext uri="{FF2B5EF4-FFF2-40B4-BE49-F238E27FC236}">
              <a16:creationId xmlns:a16="http://schemas.microsoft.com/office/drawing/2014/main" id="{00000000-0008-0000-05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92</xdr:row>
      <xdr:rowOff>142875</xdr:rowOff>
    </xdr:to>
    <xdr:sp macro="" textlink="">
      <xdr:nvSpPr>
        <xdr:cNvPr id="5" name="AutoShape 5">
          <a:extLst>
            <a:ext uri="{FF2B5EF4-FFF2-40B4-BE49-F238E27FC236}">
              <a16:creationId xmlns:a16="http://schemas.microsoft.com/office/drawing/2014/main" id="{00000000-0008-0000-05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92</xdr:row>
      <xdr:rowOff>142875</xdr:rowOff>
    </xdr:to>
    <xdr:sp macro="" textlink="">
      <xdr:nvSpPr>
        <xdr:cNvPr id="6" name="AutoShape 5">
          <a:extLst>
            <a:ext uri="{FF2B5EF4-FFF2-40B4-BE49-F238E27FC236}">
              <a16:creationId xmlns:a16="http://schemas.microsoft.com/office/drawing/2014/main" id="{00000000-0008-0000-05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92</xdr:row>
      <xdr:rowOff>142875</xdr:rowOff>
    </xdr:to>
    <xdr:sp macro="" textlink="">
      <xdr:nvSpPr>
        <xdr:cNvPr id="7" name="AutoShape 5">
          <a:extLst>
            <a:ext uri="{FF2B5EF4-FFF2-40B4-BE49-F238E27FC236}">
              <a16:creationId xmlns:a16="http://schemas.microsoft.com/office/drawing/2014/main" id="{00000000-0008-0000-05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62</xdr:row>
      <xdr:rowOff>142875</xdr:rowOff>
    </xdr:to>
    <xdr:sp macro="" textlink="">
      <xdr:nvSpPr>
        <xdr:cNvPr id="2" name="AutoShape 5">
          <a:extLst>
            <a:ext uri="{FF2B5EF4-FFF2-40B4-BE49-F238E27FC236}">
              <a16:creationId xmlns:a16="http://schemas.microsoft.com/office/drawing/2014/main" id="{00000000-0008-0000-06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3" name="AutoShape 5">
          <a:extLst>
            <a:ext uri="{FF2B5EF4-FFF2-40B4-BE49-F238E27FC236}">
              <a16:creationId xmlns:a16="http://schemas.microsoft.com/office/drawing/2014/main" id="{00000000-0008-0000-06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4" name="AutoShape 5">
          <a:extLst>
            <a:ext uri="{FF2B5EF4-FFF2-40B4-BE49-F238E27FC236}">
              <a16:creationId xmlns:a16="http://schemas.microsoft.com/office/drawing/2014/main" id="{00000000-0008-0000-06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5" name="AutoShape 5">
          <a:extLst>
            <a:ext uri="{FF2B5EF4-FFF2-40B4-BE49-F238E27FC236}">
              <a16:creationId xmlns:a16="http://schemas.microsoft.com/office/drawing/2014/main" id="{00000000-0008-0000-06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6" name="AutoShape 5">
          <a:extLst>
            <a:ext uri="{FF2B5EF4-FFF2-40B4-BE49-F238E27FC236}">
              <a16:creationId xmlns:a16="http://schemas.microsoft.com/office/drawing/2014/main" id="{00000000-0008-0000-06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7" name="AutoShape 5">
          <a:extLst>
            <a:ext uri="{FF2B5EF4-FFF2-40B4-BE49-F238E27FC236}">
              <a16:creationId xmlns:a16="http://schemas.microsoft.com/office/drawing/2014/main" id="{00000000-0008-0000-06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8" name="AutoShape 5">
          <a:extLst>
            <a:ext uri="{FF2B5EF4-FFF2-40B4-BE49-F238E27FC236}">
              <a16:creationId xmlns:a16="http://schemas.microsoft.com/office/drawing/2014/main" id="{0AE05D11-862E-4AF3-BEB4-5EC74382EF5C}"/>
            </a:ext>
          </a:extLst>
        </xdr:cNvPr>
        <xdr:cNvSpPr>
          <a:spLocks noChangeArrowheads="1"/>
        </xdr:cNvSpPr>
      </xdr:nvSpPr>
      <xdr:spPr bwMode="auto">
        <a:xfrm>
          <a:off x="0" y="0"/>
          <a:ext cx="13423106" cy="11108531"/>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9" name="AutoShape 5">
          <a:extLst>
            <a:ext uri="{FF2B5EF4-FFF2-40B4-BE49-F238E27FC236}">
              <a16:creationId xmlns:a16="http://schemas.microsoft.com/office/drawing/2014/main" id="{AEE8FE24-5287-42DC-9D7E-33C9AEE6E24D}"/>
            </a:ext>
          </a:extLst>
        </xdr:cNvPr>
        <xdr:cNvSpPr>
          <a:spLocks noChangeArrowheads="1"/>
        </xdr:cNvSpPr>
      </xdr:nvSpPr>
      <xdr:spPr bwMode="auto">
        <a:xfrm>
          <a:off x="0" y="0"/>
          <a:ext cx="13423106" cy="11108531"/>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10" name="AutoShape 5">
          <a:extLst>
            <a:ext uri="{FF2B5EF4-FFF2-40B4-BE49-F238E27FC236}">
              <a16:creationId xmlns:a16="http://schemas.microsoft.com/office/drawing/2014/main" id="{36F78ABC-207B-4F05-9A71-6C9D9597040D}"/>
            </a:ext>
          </a:extLst>
        </xdr:cNvPr>
        <xdr:cNvSpPr>
          <a:spLocks noChangeArrowheads="1"/>
        </xdr:cNvSpPr>
      </xdr:nvSpPr>
      <xdr:spPr bwMode="auto">
        <a:xfrm>
          <a:off x="0" y="0"/>
          <a:ext cx="13423106" cy="11108531"/>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11" name="AutoShape 5">
          <a:extLst>
            <a:ext uri="{FF2B5EF4-FFF2-40B4-BE49-F238E27FC236}">
              <a16:creationId xmlns:a16="http://schemas.microsoft.com/office/drawing/2014/main" id="{7C6418F3-B6A3-461D-8636-AF9992CC6457}"/>
            </a:ext>
          </a:extLst>
        </xdr:cNvPr>
        <xdr:cNvSpPr>
          <a:spLocks noChangeArrowheads="1"/>
        </xdr:cNvSpPr>
      </xdr:nvSpPr>
      <xdr:spPr bwMode="auto">
        <a:xfrm>
          <a:off x="0" y="0"/>
          <a:ext cx="13423106" cy="11310938"/>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12" name="AutoShape 5">
          <a:extLst>
            <a:ext uri="{FF2B5EF4-FFF2-40B4-BE49-F238E27FC236}">
              <a16:creationId xmlns:a16="http://schemas.microsoft.com/office/drawing/2014/main" id="{3B8C0EC3-6F88-426F-B362-2C214EFFAEC3}"/>
            </a:ext>
          </a:extLst>
        </xdr:cNvPr>
        <xdr:cNvSpPr>
          <a:spLocks noChangeArrowheads="1"/>
        </xdr:cNvSpPr>
      </xdr:nvSpPr>
      <xdr:spPr bwMode="auto">
        <a:xfrm>
          <a:off x="0" y="0"/>
          <a:ext cx="13423106" cy="11310938"/>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63</xdr:row>
      <xdr:rowOff>142875</xdr:rowOff>
    </xdr:to>
    <xdr:sp macro="" textlink="">
      <xdr:nvSpPr>
        <xdr:cNvPr id="13" name="AutoShape 5">
          <a:extLst>
            <a:ext uri="{FF2B5EF4-FFF2-40B4-BE49-F238E27FC236}">
              <a16:creationId xmlns:a16="http://schemas.microsoft.com/office/drawing/2014/main" id="{986C0A80-E2E5-4B15-8D2A-5FCFC05F29E7}"/>
            </a:ext>
          </a:extLst>
        </xdr:cNvPr>
        <xdr:cNvSpPr>
          <a:spLocks noChangeArrowheads="1"/>
        </xdr:cNvSpPr>
      </xdr:nvSpPr>
      <xdr:spPr bwMode="auto">
        <a:xfrm>
          <a:off x="0" y="0"/>
          <a:ext cx="13423106" cy="11310938"/>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112</xdr:row>
      <xdr:rowOff>142875</xdr:rowOff>
    </xdr:to>
    <xdr:sp macro="" textlink="">
      <xdr:nvSpPr>
        <xdr:cNvPr id="2" name="AutoShape 5">
          <a:extLst>
            <a:ext uri="{FF2B5EF4-FFF2-40B4-BE49-F238E27FC236}">
              <a16:creationId xmlns:a16="http://schemas.microsoft.com/office/drawing/2014/main" id="{00000000-0008-0000-07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112</xdr:row>
      <xdr:rowOff>142875</xdr:rowOff>
    </xdr:to>
    <xdr:sp macro="" textlink="">
      <xdr:nvSpPr>
        <xdr:cNvPr id="3" name="AutoShape 5">
          <a:extLst>
            <a:ext uri="{FF2B5EF4-FFF2-40B4-BE49-F238E27FC236}">
              <a16:creationId xmlns:a16="http://schemas.microsoft.com/office/drawing/2014/main" id="{00000000-0008-0000-07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112</xdr:row>
      <xdr:rowOff>142875</xdr:rowOff>
    </xdr:to>
    <xdr:sp macro="" textlink="">
      <xdr:nvSpPr>
        <xdr:cNvPr id="4" name="AutoShape 5">
          <a:extLst>
            <a:ext uri="{FF2B5EF4-FFF2-40B4-BE49-F238E27FC236}">
              <a16:creationId xmlns:a16="http://schemas.microsoft.com/office/drawing/2014/main" id="{00000000-0008-0000-07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113</xdr:row>
      <xdr:rowOff>142875</xdr:rowOff>
    </xdr:to>
    <xdr:sp macro="" textlink="">
      <xdr:nvSpPr>
        <xdr:cNvPr id="5" name="AutoShape 5">
          <a:extLst>
            <a:ext uri="{FF2B5EF4-FFF2-40B4-BE49-F238E27FC236}">
              <a16:creationId xmlns:a16="http://schemas.microsoft.com/office/drawing/2014/main" id="{00000000-0008-0000-07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113</xdr:row>
      <xdr:rowOff>142875</xdr:rowOff>
    </xdr:to>
    <xdr:sp macro="" textlink="">
      <xdr:nvSpPr>
        <xdr:cNvPr id="6" name="AutoShape 5">
          <a:extLst>
            <a:ext uri="{FF2B5EF4-FFF2-40B4-BE49-F238E27FC236}">
              <a16:creationId xmlns:a16="http://schemas.microsoft.com/office/drawing/2014/main" id="{00000000-0008-0000-07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113</xdr:row>
      <xdr:rowOff>142875</xdr:rowOff>
    </xdr:to>
    <xdr:sp macro="" textlink="">
      <xdr:nvSpPr>
        <xdr:cNvPr id="7" name="AutoShape 5">
          <a:extLst>
            <a:ext uri="{FF2B5EF4-FFF2-40B4-BE49-F238E27FC236}">
              <a16:creationId xmlns:a16="http://schemas.microsoft.com/office/drawing/2014/main" id="{00000000-0008-0000-07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69</xdr:row>
      <xdr:rowOff>142875</xdr:rowOff>
    </xdr:to>
    <xdr:sp macro="" textlink="">
      <xdr:nvSpPr>
        <xdr:cNvPr id="2" name="AutoShape 5">
          <a:extLst>
            <a:ext uri="{FF2B5EF4-FFF2-40B4-BE49-F238E27FC236}">
              <a16:creationId xmlns:a16="http://schemas.microsoft.com/office/drawing/2014/main" id="{00000000-0008-0000-0800-000002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69</xdr:row>
      <xdr:rowOff>142875</xdr:rowOff>
    </xdr:to>
    <xdr:sp macro="" textlink="">
      <xdr:nvSpPr>
        <xdr:cNvPr id="3" name="AutoShape 5">
          <a:extLst>
            <a:ext uri="{FF2B5EF4-FFF2-40B4-BE49-F238E27FC236}">
              <a16:creationId xmlns:a16="http://schemas.microsoft.com/office/drawing/2014/main" id="{00000000-0008-0000-0800-000003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69</xdr:row>
      <xdr:rowOff>142875</xdr:rowOff>
    </xdr:to>
    <xdr:sp macro="" textlink="">
      <xdr:nvSpPr>
        <xdr:cNvPr id="4" name="AutoShape 5">
          <a:extLst>
            <a:ext uri="{FF2B5EF4-FFF2-40B4-BE49-F238E27FC236}">
              <a16:creationId xmlns:a16="http://schemas.microsoft.com/office/drawing/2014/main" id="{00000000-0008-0000-0800-000004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5" name="AutoShape 5">
          <a:extLst>
            <a:ext uri="{FF2B5EF4-FFF2-40B4-BE49-F238E27FC236}">
              <a16:creationId xmlns:a16="http://schemas.microsoft.com/office/drawing/2014/main" id="{00000000-0008-0000-0800-000005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6" name="AutoShape 5">
          <a:extLst>
            <a:ext uri="{FF2B5EF4-FFF2-40B4-BE49-F238E27FC236}">
              <a16:creationId xmlns:a16="http://schemas.microsoft.com/office/drawing/2014/main" id="{00000000-0008-0000-0800-000006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70</xdr:row>
      <xdr:rowOff>142875</xdr:rowOff>
    </xdr:to>
    <xdr:sp macro="" textlink="">
      <xdr:nvSpPr>
        <xdr:cNvPr id="7" name="AutoShape 5">
          <a:extLst>
            <a:ext uri="{FF2B5EF4-FFF2-40B4-BE49-F238E27FC236}">
              <a16:creationId xmlns:a16="http://schemas.microsoft.com/office/drawing/2014/main" id="{00000000-0008-0000-0800-000007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135255</xdr:rowOff>
    </xdr:to>
    <xdr:sp macro="" textlink="">
      <xdr:nvSpPr>
        <xdr:cNvPr id="8" name="AutoShape 5">
          <a:extLst>
            <a:ext uri="{FF2B5EF4-FFF2-40B4-BE49-F238E27FC236}">
              <a16:creationId xmlns:a16="http://schemas.microsoft.com/office/drawing/2014/main" id="{ACF21319-E29B-43B5-82B8-6CC1D440116C}"/>
            </a:ext>
          </a:extLst>
        </xdr:cNvPr>
        <xdr:cNvSpPr>
          <a:spLocks noChangeArrowheads="1"/>
        </xdr:cNvSpPr>
      </xdr:nvSpPr>
      <xdr:spPr bwMode="auto">
        <a:xfrm>
          <a:off x="0" y="0"/>
          <a:ext cx="13712190" cy="1183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135255</xdr:rowOff>
    </xdr:to>
    <xdr:sp macro="" textlink="">
      <xdr:nvSpPr>
        <xdr:cNvPr id="9" name="AutoShape 5">
          <a:extLst>
            <a:ext uri="{FF2B5EF4-FFF2-40B4-BE49-F238E27FC236}">
              <a16:creationId xmlns:a16="http://schemas.microsoft.com/office/drawing/2014/main" id="{B4FFBCA0-4DEE-4073-9118-331E0217DE32}"/>
            </a:ext>
          </a:extLst>
        </xdr:cNvPr>
        <xdr:cNvSpPr>
          <a:spLocks noChangeArrowheads="1"/>
        </xdr:cNvSpPr>
      </xdr:nvSpPr>
      <xdr:spPr bwMode="auto">
        <a:xfrm>
          <a:off x="0" y="0"/>
          <a:ext cx="13712190" cy="11839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74</xdr:row>
      <xdr:rowOff>135255</xdr:rowOff>
    </xdr:to>
    <xdr:sp macro="" textlink="">
      <xdr:nvSpPr>
        <xdr:cNvPr id="10" name="AutoShape 5">
          <a:extLst>
            <a:ext uri="{FF2B5EF4-FFF2-40B4-BE49-F238E27FC236}">
              <a16:creationId xmlns:a16="http://schemas.microsoft.com/office/drawing/2014/main" id="{0B698937-0D79-4DFA-ACB3-D7900498B113}"/>
            </a:ext>
          </a:extLst>
        </xdr:cNvPr>
        <xdr:cNvSpPr>
          <a:spLocks noChangeArrowheads="1"/>
        </xdr:cNvSpPr>
      </xdr:nvSpPr>
      <xdr:spPr bwMode="auto">
        <a:xfrm>
          <a:off x="0" y="0"/>
          <a:ext cx="13712190" cy="11839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135255</xdr:rowOff>
    </xdr:to>
    <xdr:sp macro="" textlink="">
      <xdr:nvSpPr>
        <xdr:cNvPr id="11" name="AutoShape 5">
          <a:extLst>
            <a:ext uri="{FF2B5EF4-FFF2-40B4-BE49-F238E27FC236}">
              <a16:creationId xmlns:a16="http://schemas.microsoft.com/office/drawing/2014/main" id="{30DAFCE2-69AD-43D8-ACD0-5DFF8312A6BA}"/>
            </a:ext>
          </a:extLst>
        </xdr:cNvPr>
        <xdr:cNvSpPr>
          <a:spLocks noChangeArrowheads="1"/>
        </xdr:cNvSpPr>
      </xdr:nvSpPr>
      <xdr:spPr bwMode="auto">
        <a:xfrm>
          <a:off x="0" y="0"/>
          <a:ext cx="13712190" cy="1203769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135255</xdr:rowOff>
    </xdr:to>
    <xdr:sp macro="" textlink="">
      <xdr:nvSpPr>
        <xdr:cNvPr id="12" name="AutoShape 5">
          <a:extLst>
            <a:ext uri="{FF2B5EF4-FFF2-40B4-BE49-F238E27FC236}">
              <a16:creationId xmlns:a16="http://schemas.microsoft.com/office/drawing/2014/main" id="{6EF67795-F5AE-41C0-B36D-E031BB7EC6B6}"/>
            </a:ext>
          </a:extLst>
        </xdr:cNvPr>
        <xdr:cNvSpPr>
          <a:spLocks noChangeArrowheads="1"/>
        </xdr:cNvSpPr>
      </xdr:nvSpPr>
      <xdr:spPr bwMode="auto">
        <a:xfrm>
          <a:off x="0" y="0"/>
          <a:ext cx="13712190" cy="1203769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135255</xdr:rowOff>
    </xdr:to>
    <xdr:sp macro="" textlink="">
      <xdr:nvSpPr>
        <xdr:cNvPr id="13" name="AutoShape 5">
          <a:extLst>
            <a:ext uri="{FF2B5EF4-FFF2-40B4-BE49-F238E27FC236}">
              <a16:creationId xmlns:a16="http://schemas.microsoft.com/office/drawing/2014/main" id="{4D3DF556-719E-43BF-A3CC-3573A0D016D8}"/>
            </a:ext>
          </a:extLst>
        </xdr:cNvPr>
        <xdr:cNvSpPr>
          <a:spLocks noChangeArrowheads="1"/>
        </xdr:cNvSpPr>
      </xdr:nvSpPr>
      <xdr:spPr bwMode="auto">
        <a:xfrm>
          <a:off x="0" y="0"/>
          <a:ext cx="13712190" cy="12037695"/>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1.xlsx" TargetMode="External"/><Relationship Id="rId1" Type="http://schemas.openxmlformats.org/officeDocument/2006/relationships/externalLinkPath" Target="/Project%20Data/GlacierData/Benchmark_Program/Data/_Templates/Mass_Balance_template_202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5.xlsx" TargetMode="External"/><Relationship Id="rId1" Type="http://schemas.openxmlformats.org/officeDocument/2006/relationships/externalLinkPath" Target="/Project%20Data/GlacierData/Benchmark_Program/Data/_Templates/Mass_Balance_template_202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itCore_Sheet"/>
      <sheetName val="FirnCore_Sheet"/>
    </sheetNames>
    <sheetDataSet>
      <sheetData sheetId="0"/>
      <sheetData sheetId="1"/>
      <sheetData sheetId="2"/>
      <sheetData sheetId="3">
        <row r="2">
          <cell r="B2"/>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robe_Sheet"/>
      <sheetName val="PitCore_Sheet"/>
      <sheetName val="FirnCore_Sheet"/>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Sass, Louis" id="{E4BA4CD8-DD2C-45C6-A95A-7D7FA65635D9}" userId="S::lsass@usgs.gov::532b36c5-14fd-4389-948c-e9e662e1f233" providerId="AD"/>
  <person displayName="Mcneil, Christopher J" id="{234AFD3C-752B-4BD9-BAEF-074D0832B334}" userId="S::cmcneil@usgs.gov::31fd1366-8711-4764-bb54-c10860824430" providerId="AD"/>
  <person displayName="Baker, Emily H" id="{BC2015B4-8935-47BB-89DC-D3F5F8A6E4E8}" userId="S::ehbaker@usgs.gov::571f2d89-d821-443e-b68c-9dc70dd395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0" dT="2023-09-09T02:58:50.39" personId="{234AFD3C-752B-4BD9-BAEF-074D0832B334}" id="{9E68F2AE-AB3B-4A1D-9BE9-1E9EC58F2986}">
    <text>Removed 6.10m section and was unable to get it back on to coupler in drill hole...</text>
  </threadedComment>
  <threadedComment ref="E56" dT="2024-09-23T19:34:00.34" personId="{234AFD3C-752B-4BD9-BAEF-074D0832B334}" id="{FA1D7952-A948-4F3D-9CC0-D090C3BC4BEF}">
    <text>Additional wand taped to top section reaches close to 12m total length--~5+m above</text>
  </threadedComment>
</ThreadedComments>
</file>

<file path=xl/threadedComments/threadedComment2.xml><?xml version="1.0" encoding="utf-8"?>
<ThreadedComments xmlns="http://schemas.microsoft.com/office/spreadsheetml/2018/threadedcomments" xmlns:x="http://schemas.openxmlformats.org/spreadsheetml/2006/main">
  <threadedComment ref="G12" dT="2022-05-05T01:45:04.18" personId="{234AFD3C-752B-4BD9-BAEF-074D0832B334}" id="{C631F6AD-C92B-4EA9-A958-FAE8B8AAD9F0}">
    <text>stake bent</text>
  </threadedComment>
  <threadedComment ref="R13" dT="2022-05-05T01:56:58.91" personId="{234AFD3C-752B-4BD9-BAEF-074D0832B334}" id="{5077E546-3F87-486E-82E4-74B6B4F54646}">
    <text>Stake bent several times over the winter, so not a valid measure of winter ablation. Will need to measure in the fall.</text>
  </threadedComment>
  <threadedComment ref="G17" dT="2023-05-08T21:58:04.23" personId="{BC2015B4-8935-47BB-89DC-D3F5F8A6E4E8}" id="{77DD3D06-12DC-4A1D-B3C2-49CE10B3DA51}">
    <text>stake bent</text>
  </threadedComment>
</ThreadedComments>
</file>

<file path=xl/threadedComments/threadedComment3.xml><?xml version="1.0" encoding="utf-8"?>
<ThreadedComments xmlns="http://schemas.microsoft.com/office/spreadsheetml/2018/threadedcomments" xmlns:x="http://schemas.openxmlformats.org/spreadsheetml/2006/main">
  <threadedComment ref="E19" dT="2024-09-25T19:42:03.41" personId="{234AFD3C-752B-4BD9-BAEF-074D0832B334}" id="{EEED9372-521F-480C-B852-3F44D3AD39A6}">
    <text>Additional wand on top not included in the 13.00m total length</text>
  </threadedComment>
</ThreadedComments>
</file>

<file path=xl/threadedComments/threadedComment4.xml><?xml version="1.0" encoding="utf-8"?>
<ThreadedComments xmlns="http://schemas.microsoft.com/office/spreadsheetml/2018/threadedcomments" xmlns:x="http://schemas.openxmlformats.org/spreadsheetml/2006/main">
  <threadedComment ref="I14" dT="2021-04-20T20:41:25.98" personId="{E4BA4CD8-DD2C-45C6-A95A-7D7FA65635D9}" id="{8F2C332E-9F91-45A9-99C1-E19D5BDA90A1}">
    <text>Stake is slightly upstream of index site in a region of incrreasing snow thickness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8"/>
  <sheetViews>
    <sheetView workbookViewId="0">
      <selection activeCell="G16" sqref="G16"/>
    </sheetView>
  </sheetViews>
  <sheetFormatPr defaultRowHeight="14.4" x14ac:dyDescent="0.3"/>
  <cols>
    <col min="3" max="3" width="10.6640625" customWidth="1"/>
    <col min="4" max="4" width="11" customWidth="1"/>
    <col min="5" max="5" width="9" bestFit="1" customWidth="1"/>
    <col min="6" max="6" width="11.44140625" bestFit="1" customWidth="1"/>
    <col min="8" max="8" width="14.5546875" bestFit="1" customWidth="1"/>
    <col min="9" max="9" width="20.88671875" bestFit="1" customWidth="1"/>
    <col min="10" max="10" width="13.5546875" customWidth="1"/>
    <col min="11" max="11" width="21.5546875" customWidth="1"/>
  </cols>
  <sheetData>
    <row r="2" spans="1:11" x14ac:dyDescent="0.3">
      <c r="A2" s="924" t="s">
        <v>0</v>
      </c>
      <c r="B2" s="925"/>
      <c r="C2" s="925"/>
      <c r="D2" s="925"/>
      <c r="E2" s="925"/>
      <c r="F2" s="925"/>
      <c r="G2" s="925"/>
      <c r="H2" s="925"/>
      <c r="I2" s="926"/>
      <c r="J2" s="175"/>
      <c r="K2" s="175"/>
    </row>
    <row r="3" spans="1:11" x14ac:dyDescent="0.3">
      <c r="A3" s="180" t="s">
        <v>70</v>
      </c>
      <c r="B3" s="15" t="s">
        <v>1</v>
      </c>
      <c r="C3" s="15" t="s">
        <v>3</v>
      </c>
      <c r="D3" s="15" t="s">
        <v>4</v>
      </c>
      <c r="E3" s="15" t="s">
        <v>2</v>
      </c>
      <c r="F3" s="15" t="s">
        <v>5</v>
      </c>
      <c r="G3" s="15" t="s">
        <v>6</v>
      </c>
      <c r="H3" s="15" t="s">
        <v>7</v>
      </c>
      <c r="I3" s="181" t="s">
        <v>8</v>
      </c>
    </row>
    <row r="4" spans="1:11" x14ac:dyDescent="0.3">
      <c r="A4" s="103">
        <v>2025</v>
      </c>
      <c r="B4" s="177" t="s">
        <v>101</v>
      </c>
      <c r="C4" s="178">
        <f>AUU!G18</f>
        <v>45787</v>
      </c>
      <c r="D4" s="178" t="str">
        <f>AUU!I18</f>
        <v>NaN</v>
      </c>
      <c r="E4" s="344">
        <f>AVERAGE(AUU!V6:V7)</f>
        <v>649.23450000000003</v>
      </c>
      <c r="F4" s="159">
        <f>AUU!C19</f>
        <v>1.5424430641821949</v>
      </c>
      <c r="G4" s="179" t="str">
        <f>AUU!C21</f>
        <v>NaN</v>
      </c>
      <c r="H4" s="159">
        <f>AUU!C23</f>
        <v>-0.1080000000000001</v>
      </c>
      <c r="I4" s="182" t="str">
        <f>AUU!C24</f>
        <v>NaN</v>
      </c>
      <c r="J4" s="776"/>
    </row>
    <row r="5" spans="1:11" x14ac:dyDescent="0.3">
      <c r="A5" s="103">
        <v>2025</v>
      </c>
      <c r="B5" s="104" t="s">
        <v>55</v>
      </c>
      <c r="C5" s="178">
        <f>N!G28</f>
        <v>45785</v>
      </c>
      <c r="D5" s="178" t="str">
        <f>N!I28</f>
        <v>NaN</v>
      </c>
      <c r="E5" s="344">
        <f>AVERAGE(N!V10:V11,N!V14:V15)</f>
        <v>993.50274999999999</v>
      </c>
      <c r="F5" s="159">
        <f>N!C29</f>
        <v>1.9997119485716435</v>
      </c>
      <c r="G5" s="159" t="str">
        <f>N!C31</f>
        <v>NaN</v>
      </c>
      <c r="H5" s="179">
        <f>N!C33</f>
        <v>0</v>
      </c>
      <c r="I5" s="182" t="str">
        <f>N!C34</f>
        <v>NaN</v>
      </c>
      <c r="J5" s="776"/>
    </row>
    <row r="6" spans="1:11" x14ac:dyDescent="0.3">
      <c r="A6" s="103">
        <v>2025</v>
      </c>
      <c r="B6" s="104" t="s">
        <v>56</v>
      </c>
      <c r="C6" s="178">
        <f>B!G42</f>
        <v>45784</v>
      </c>
      <c r="D6" s="178" t="str">
        <f>B!I42</f>
        <v>NaN</v>
      </c>
      <c r="E6" s="344">
        <f>AVERAGE(B!V12:V13,B!V23:V24,B!V28:V29)</f>
        <v>1050.7671666666668</v>
      </c>
      <c r="F6" s="159">
        <f>B!C43</f>
        <v>2.3049517371990182</v>
      </c>
      <c r="G6" s="159" t="str">
        <f>B!C45</f>
        <v>NaN</v>
      </c>
      <c r="H6" s="179" t="str">
        <f>B!C47</f>
        <v>NaN</v>
      </c>
      <c r="I6" s="182" t="str">
        <f>B!C48</f>
        <v>NaN</v>
      </c>
      <c r="J6" s="776"/>
    </row>
    <row r="7" spans="1:11" x14ac:dyDescent="0.3">
      <c r="A7" s="103">
        <v>2025</v>
      </c>
      <c r="B7" s="104" t="s">
        <v>57</v>
      </c>
      <c r="C7" s="178">
        <f>S!G67</f>
        <v>45784</v>
      </c>
      <c r="D7" s="178" t="str">
        <f>S!I67</f>
        <v>NaN</v>
      </c>
      <c r="E7" s="344">
        <f>AVERAGE(S!V50:V51,S!V54:V55)</f>
        <v>1231.0920000000001</v>
      </c>
      <c r="F7" s="179">
        <f>S!C68</f>
        <v>3.9851787493746786</v>
      </c>
      <c r="G7" s="179" t="str">
        <f>S!C70</f>
        <v>NaN</v>
      </c>
      <c r="H7" s="159" t="str">
        <f>S!C72</f>
        <v>NaN</v>
      </c>
      <c r="I7" s="182" t="str">
        <f>S!C73</f>
        <v>NaN</v>
      </c>
      <c r="J7" s="776"/>
    </row>
    <row r="8" spans="1:11" x14ac:dyDescent="0.3">
      <c r="A8" s="103">
        <v>2025</v>
      </c>
      <c r="B8" s="104" t="s">
        <v>51</v>
      </c>
      <c r="C8" s="178">
        <f>'C'!G60</f>
        <v>45785</v>
      </c>
      <c r="D8" s="178" t="str">
        <f>'C'!I60</f>
        <v>NaN</v>
      </c>
      <c r="E8" s="344">
        <f>AVERAGE('C'!V41:V42,'C'!V45:V46)</f>
        <v>1292.85625</v>
      </c>
      <c r="F8" s="159">
        <f>'C'!C61</f>
        <v>3.6298484395572013</v>
      </c>
      <c r="G8" s="159" t="str">
        <f>'C'!C63</f>
        <v>NaN</v>
      </c>
      <c r="H8" s="179" t="str">
        <f>'C'!C65</f>
        <v>NaN</v>
      </c>
      <c r="I8" s="182" t="str">
        <f>'C'!C66</f>
        <v>NaN</v>
      </c>
      <c r="J8" s="776"/>
    </row>
    <row r="9" spans="1:11" x14ac:dyDescent="0.3">
      <c r="A9" s="103">
        <v>2025</v>
      </c>
      <c r="B9" s="104" t="s">
        <v>60</v>
      </c>
      <c r="C9" s="178">
        <f>EC!G43</f>
        <v>45785</v>
      </c>
      <c r="D9" s="178" t="str">
        <f>EC!I43</f>
        <v>NaN</v>
      </c>
      <c r="E9" s="344">
        <f>AVERAGE(EC!V29,EC!V31)</f>
        <v>1347.8404999999998</v>
      </c>
      <c r="F9" s="159">
        <f>EC!C44</f>
        <v>4.1256943443116105</v>
      </c>
      <c r="G9" s="159" t="str">
        <f>EC!C46</f>
        <v>NaN</v>
      </c>
      <c r="H9" s="179" t="str">
        <f>EC!C48</f>
        <v>NaN</v>
      </c>
      <c r="I9" s="182" t="str">
        <f>EC!C49</f>
        <v>NaN</v>
      </c>
      <c r="J9" s="776"/>
    </row>
    <row r="10" spans="1:11" x14ac:dyDescent="0.3">
      <c r="A10" s="103">
        <v>2025</v>
      </c>
      <c r="B10" s="104" t="s">
        <v>64</v>
      </c>
      <c r="C10" s="178">
        <f>TU!G31</f>
        <v>45785</v>
      </c>
      <c r="D10" s="178" t="str">
        <f>TU!I31</f>
        <v>NaN</v>
      </c>
      <c r="E10" s="344">
        <f>AVERAGE(TU!V12:V13,TU!V17:V18)</f>
        <v>1368.4267499999999</v>
      </c>
      <c r="F10" s="159">
        <f>TU!C32</f>
        <v>3.2761272207168792</v>
      </c>
      <c r="G10" s="159" t="str">
        <f>TU!C34</f>
        <v>NaN</v>
      </c>
      <c r="H10" s="159" t="str">
        <f>TU!C36</f>
        <v>NaN</v>
      </c>
      <c r="I10" s="182" t="str">
        <f>TU!C37</f>
        <v>NaN</v>
      </c>
      <c r="J10" s="776"/>
    </row>
    <row r="11" spans="1:11" x14ac:dyDescent="0.3">
      <c r="A11" s="103">
        <v>2025</v>
      </c>
      <c r="B11" s="183" t="s">
        <v>58</v>
      </c>
      <c r="C11" s="184">
        <f>Y!G81</f>
        <v>45785</v>
      </c>
      <c r="D11" s="184" t="str">
        <f>Y!I81</f>
        <v>NaN</v>
      </c>
      <c r="E11" s="345">
        <f>AVERAGE(Y!V67,Y!V69)</f>
        <v>1365.9090000000001</v>
      </c>
      <c r="F11" s="185">
        <f>Y!C82</f>
        <v>4.3361465288567622</v>
      </c>
      <c r="G11" s="185" t="str">
        <f>Y!C84</f>
        <v>NaN</v>
      </c>
      <c r="H11" s="185" t="str">
        <f>Y!C86</f>
        <v>NaN</v>
      </c>
      <c r="I11" s="186" t="str">
        <f>Y!C87</f>
        <v>NaN</v>
      </c>
      <c r="J11" s="776"/>
    </row>
    <row r="12" spans="1:11" x14ac:dyDescent="0.3">
      <c r="A12" s="2"/>
      <c r="B12" s="176"/>
      <c r="C12" s="176"/>
      <c r="D12" s="176"/>
      <c r="E12" s="69"/>
      <c r="F12" s="2"/>
      <c r="G12" s="2"/>
      <c r="H12" s="2"/>
      <c r="I12" s="2"/>
    </row>
    <row r="13" spans="1:11" x14ac:dyDescent="0.3">
      <c r="A13" s="2"/>
      <c r="B13" s="2"/>
      <c r="C13" s="2"/>
      <c r="D13" s="2"/>
      <c r="E13" s="2"/>
      <c r="F13" s="2"/>
      <c r="G13" s="2"/>
      <c r="H13" s="2"/>
      <c r="I13" s="2"/>
    </row>
    <row r="14" spans="1:11" x14ac:dyDescent="0.3">
      <c r="A14" s="2"/>
      <c r="B14" s="2"/>
      <c r="C14" s="2"/>
      <c r="D14" s="2"/>
      <c r="E14" s="2"/>
      <c r="F14" s="2"/>
      <c r="G14" s="2"/>
      <c r="H14" s="2"/>
      <c r="I14" s="2"/>
    </row>
    <row r="15" spans="1:11" x14ac:dyDescent="0.3">
      <c r="A15" s="2"/>
      <c r="B15" s="2"/>
      <c r="C15" s="2"/>
      <c r="D15" s="2"/>
      <c r="E15" s="2"/>
      <c r="F15" s="2"/>
      <c r="G15" s="2"/>
      <c r="H15" s="2"/>
      <c r="I15" s="2"/>
    </row>
    <row r="16" spans="1:11" x14ac:dyDescent="0.3">
      <c r="A16" s="2"/>
      <c r="B16" s="2"/>
      <c r="C16" s="2"/>
      <c r="D16" s="2"/>
      <c r="E16" s="2"/>
      <c r="F16" s="2"/>
      <c r="G16" s="2"/>
      <c r="H16" s="2"/>
      <c r="I16" s="2"/>
    </row>
    <row r="17" spans="1:9" x14ac:dyDescent="0.3">
      <c r="A17" s="2"/>
      <c r="B17" s="2"/>
      <c r="C17" s="2"/>
      <c r="D17" s="2"/>
      <c r="E17" s="2"/>
      <c r="F17" s="2"/>
      <c r="G17" s="2"/>
      <c r="H17" s="2"/>
      <c r="I17" s="2"/>
    </row>
    <row r="18" spans="1:9" x14ac:dyDescent="0.3">
      <c r="A18" s="2"/>
      <c r="B18" s="2"/>
      <c r="C18" s="2"/>
      <c r="D18" s="2"/>
      <c r="E18" s="2"/>
      <c r="F18" s="2"/>
      <c r="G18" s="2"/>
      <c r="H18" s="2"/>
      <c r="I18" s="2"/>
    </row>
  </sheetData>
  <mergeCells count="1">
    <mergeCell ref="A2:I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1B6E-C160-4815-A287-7D20AE9EA9B4}">
  <dimension ref="A1:Q169"/>
  <sheetViews>
    <sheetView workbookViewId="0">
      <selection activeCell="I5" sqref="I5"/>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6.33203125" style="596" customWidth="1"/>
    <col min="8" max="8" width="6.88671875" style="599" customWidth="1"/>
    <col min="9" max="9" width="9.6640625" style="596" customWidth="1"/>
    <col min="10" max="10" width="8.6640625" style="596" bestFit="1" customWidth="1"/>
    <col min="11" max="11" width="18.6640625" style="590" customWidth="1"/>
    <col min="12" max="12" width="17.33203125" style="597" bestFit="1" customWidth="1"/>
    <col min="13" max="13" width="12.88671875" style="533" customWidth="1"/>
    <col min="14" max="14" width="11.33203125" style="533" customWidth="1"/>
    <col min="15" max="15" width="14.5546875" style="545" customWidth="1"/>
    <col min="16" max="16" width="2.44140625" style="545" customWidth="1"/>
    <col min="17" max="17" width="14" style="533" bestFit="1" customWidth="1"/>
    <col min="18" max="18" width="5.44140625" style="533" customWidth="1"/>
    <col min="19" max="27" width="5.33203125" style="533" customWidth="1"/>
    <col min="28" max="28" width="17" style="533" customWidth="1"/>
    <col min="29" max="16384" width="7.88671875" style="533"/>
  </cols>
  <sheetData>
    <row r="1" spans="1:15" s="369" customFormat="1" ht="13.2" x14ac:dyDescent="0.25">
      <c r="A1" s="636" t="s">
        <v>104</v>
      </c>
      <c r="B1" s="637" t="s">
        <v>159</v>
      </c>
      <c r="C1" s="363"/>
      <c r="D1" s="637"/>
      <c r="E1" s="364"/>
      <c r="F1" s="364"/>
      <c r="G1" s="365"/>
      <c r="H1" s="366" t="s">
        <v>180</v>
      </c>
      <c r="I1" s="367">
        <f>M12</f>
        <v>295</v>
      </c>
      <c r="J1" s="368"/>
      <c r="K1" s="637"/>
      <c r="L1" s="637"/>
      <c r="M1" s="638"/>
      <c r="N1" s="370"/>
    </row>
    <row r="2" spans="1:15" s="369" customFormat="1" ht="13.2" x14ac:dyDescent="0.25">
      <c r="A2" s="639" t="s">
        <v>106</v>
      </c>
      <c r="B2" s="381" t="s">
        <v>222</v>
      </c>
      <c r="C2" s="373"/>
      <c r="D2" s="381"/>
      <c r="E2" s="374"/>
      <c r="F2" s="374"/>
      <c r="G2" s="375"/>
      <c r="H2" s="376" t="s">
        <v>181</v>
      </c>
      <c r="I2" s="640">
        <f>M12</f>
        <v>295</v>
      </c>
      <c r="J2" s="378"/>
      <c r="K2" s="381"/>
      <c r="L2" s="381"/>
      <c r="M2" s="641"/>
      <c r="N2" s="379"/>
    </row>
    <row r="3" spans="1:15" s="383" customFormat="1" ht="11.25" customHeight="1" x14ac:dyDescent="0.25">
      <c r="A3" s="642" t="s">
        <v>108</v>
      </c>
      <c r="B3" s="632">
        <v>45787</v>
      </c>
      <c r="C3" s="373"/>
      <c r="D3" s="374"/>
      <c r="E3" s="374"/>
      <c r="F3" s="374"/>
      <c r="G3" s="375"/>
      <c r="H3" s="380" t="s">
        <v>182</v>
      </c>
      <c r="I3" s="643">
        <f>M53/100</f>
        <v>2.7450000000000001</v>
      </c>
      <c r="J3" s="378"/>
      <c r="K3" s="381"/>
      <c r="L3" s="381"/>
      <c r="M3" s="644"/>
      <c r="N3" s="384"/>
    </row>
    <row r="4" spans="1:15" s="369" customFormat="1" ht="13.2" x14ac:dyDescent="0.25">
      <c r="A4" s="642" t="s">
        <v>110</v>
      </c>
      <c r="B4" s="381" t="s">
        <v>219</v>
      </c>
      <c r="C4" s="373"/>
      <c r="D4" s="374"/>
      <c r="E4" s="374"/>
      <c r="F4" s="374"/>
      <c r="G4" s="375"/>
      <c r="H4" s="380" t="s">
        <v>183</v>
      </c>
      <c r="I4" s="643">
        <f>J27</f>
        <v>0.51414768806073163</v>
      </c>
      <c r="J4" s="378"/>
      <c r="K4" s="381"/>
      <c r="L4" s="381"/>
      <c r="M4" s="641"/>
      <c r="N4" s="370"/>
    </row>
    <row r="5" spans="1:15" s="390" customFormat="1" ht="13.2" x14ac:dyDescent="0.25">
      <c r="A5" s="639" t="s">
        <v>112</v>
      </c>
      <c r="B5" s="387" t="s">
        <v>113</v>
      </c>
      <c r="C5" s="373"/>
      <c r="D5" s="374"/>
      <c r="E5" s="374"/>
      <c r="F5" s="374"/>
      <c r="G5" s="375"/>
      <c r="H5" s="380" t="s">
        <v>272</v>
      </c>
      <c r="I5" s="899">
        <f>I4*I2/100</f>
        <v>1.5167356797791585</v>
      </c>
      <c r="J5" s="378"/>
      <c r="K5" s="381"/>
      <c r="L5" s="381"/>
      <c r="M5" s="418"/>
      <c r="N5" s="389"/>
    </row>
    <row r="6" spans="1:15" s="389" customFormat="1" ht="13.8" thickBot="1" x14ac:dyDescent="0.25">
      <c r="A6" s="645"/>
      <c r="B6" s="646"/>
      <c r="C6" s="647"/>
      <c r="D6" s="648"/>
      <c r="E6" s="648"/>
      <c r="F6" s="648"/>
      <c r="G6" s="649"/>
      <c r="H6" s="650"/>
      <c r="I6" s="651"/>
      <c r="J6" s="649"/>
      <c r="K6" s="652"/>
      <c r="L6" s="646"/>
      <c r="M6" s="653"/>
    </row>
    <row r="7" spans="1:15" s="390" customFormat="1" ht="13.2" customHeight="1" x14ac:dyDescent="0.2">
      <c r="A7" s="654" t="s">
        <v>114</v>
      </c>
      <c r="B7" s="655"/>
      <c r="C7" s="656"/>
      <c r="D7" s="657"/>
      <c r="E7" s="658" t="s">
        <v>115</v>
      </c>
      <c r="F7" s="655"/>
      <c r="G7" s="612" t="s">
        <v>116</v>
      </c>
      <c r="H7" s="402"/>
      <c r="I7" s="659" t="s">
        <v>117</v>
      </c>
      <c r="J7" s="659"/>
      <c r="K7" s="403"/>
      <c r="L7" s="950" t="s">
        <v>118</v>
      </c>
      <c r="M7" s="951"/>
      <c r="N7" s="389"/>
      <c r="O7" s="389"/>
    </row>
    <row r="8" spans="1:15" s="420" customFormat="1" ht="11.25" customHeight="1" x14ac:dyDescent="0.2">
      <c r="A8" s="404"/>
      <c r="B8" s="399"/>
      <c r="C8" s="405"/>
      <c r="D8" s="414"/>
      <c r="E8" s="660"/>
      <c r="F8" s="414"/>
      <c r="G8" s="661"/>
      <c r="H8" s="416"/>
      <c r="I8" s="442"/>
      <c r="J8" s="442"/>
      <c r="K8" s="417"/>
      <c r="L8" s="418"/>
      <c r="M8" s="418"/>
      <c r="N8" s="419"/>
    </row>
    <row r="9" spans="1:15" s="431" customFormat="1" x14ac:dyDescent="0.2">
      <c r="C9" s="422"/>
      <c r="D9" s="662"/>
      <c r="E9" s="660" t="s">
        <v>121</v>
      </c>
      <c r="F9" s="414"/>
      <c r="G9" s="661"/>
      <c r="H9" s="416"/>
      <c r="I9" s="545"/>
      <c r="J9" s="545"/>
      <c r="K9" s="417"/>
      <c r="L9" s="427"/>
      <c r="M9" s="428"/>
      <c r="N9" s="429"/>
      <c r="O9" s="430"/>
    </row>
    <row r="10" spans="1:15" s="431" customFormat="1" x14ac:dyDescent="0.2">
      <c r="A10" s="432" t="s">
        <v>122</v>
      </c>
      <c r="B10" s="433" t="s">
        <v>51</v>
      </c>
      <c r="C10" s="434" t="s">
        <v>123</v>
      </c>
      <c r="D10" s="441" t="s">
        <v>133</v>
      </c>
      <c r="E10" s="439" t="s">
        <v>134</v>
      </c>
      <c r="F10" s="441" t="s">
        <v>135</v>
      </c>
      <c r="G10" s="661" t="s">
        <v>136</v>
      </c>
      <c r="H10" s="416" t="s">
        <v>137</v>
      </c>
      <c r="I10" s="442" t="s">
        <v>137</v>
      </c>
      <c r="J10" s="442" t="s">
        <v>136</v>
      </c>
      <c r="K10" s="443" t="s">
        <v>138</v>
      </c>
      <c r="L10" s="427" t="s">
        <v>139</v>
      </c>
      <c r="M10" s="427" t="s">
        <v>140</v>
      </c>
      <c r="N10" s="444"/>
    </row>
    <row r="11" spans="1:15" s="431" customFormat="1" ht="12" thickBot="1" x14ac:dyDescent="0.35">
      <c r="A11" s="445" t="s">
        <v>141</v>
      </c>
      <c r="B11" s="446" t="s">
        <v>141</v>
      </c>
      <c r="C11" s="447" t="s">
        <v>142</v>
      </c>
      <c r="D11" s="456" t="s">
        <v>144</v>
      </c>
      <c r="E11" s="454" t="s">
        <v>142</v>
      </c>
      <c r="F11" s="456" t="s">
        <v>142</v>
      </c>
      <c r="G11" s="663" t="s">
        <v>145</v>
      </c>
      <c r="H11" s="458" t="s">
        <v>146</v>
      </c>
      <c r="I11" s="457" t="s">
        <v>146</v>
      </c>
      <c r="J11" s="457" t="s">
        <v>145</v>
      </c>
      <c r="K11" s="460"/>
      <c r="L11" s="461"/>
      <c r="M11" s="462" t="s">
        <v>142</v>
      </c>
      <c r="N11" s="444"/>
    </row>
    <row r="12" spans="1:15" s="431" customFormat="1" x14ac:dyDescent="0.3">
      <c r="A12" s="482"/>
      <c r="B12" s="483"/>
      <c r="C12" s="471">
        <v>0</v>
      </c>
      <c r="D12" s="664"/>
      <c r="E12" s="665"/>
      <c r="F12" s="666"/>
      <c r="G12" s="667"/>
      <c r="H12" s="492"/>
      <c r="I12" s="668"/>
      <c r="J12" s="669"/>
      <c r="K12" s="495"/>
      <c r="L12" s="479" t="s">
        <v>184</v>
      </c>
      <c r="M12" s="480">
        <v>295</v>
      </c>
      <c r="N12" s="481"/>
    </row>
    <row r="13" spans="1:15" s="431" customFormat="1" x14ac:dyDescent="0.3">
      <c r="A13" s="482">
        <v>405</v>
      </c>
      <c r="B13" s="483">
        <v>0</v>
      </c>
      <c r="C13" s="471">
        <v>10</v>
      </c>
      <c r="D13" s="664">
        <v>1000</v>
      </c>
      <c r="E13" s="670">
        <f>C12</f>
        <v>0</v>
      </c>
      <c r="F13" s="671">
        <f>(C13+C14-10)/2</f>
        <v>10</v>
      </c>
      <c r="G13" s="491">
        <f t="shared" ref="G13:G41" si="0">(A13-B13)/966</f>
        <v>0.41925465838509318</v>
      </c>
      <c r="H13" s="672">
        <f>(G13*(F13-E13))/100</f>
        <v>4.192546583850932E-2</v>
      </c>
      <c r="I13" s="673">
        <f>SUM(H$13:H13)</f>
        <v>4.192546583850932E-2</v>
      </c>
      <c r="J13" s="494">
        <f t="shared" ref="J13:J26" si="1">I13/F13*100</f>
        <v>0.41925465838509324</v>
      </c>
      <c r="K13" s="495"/>
      <c r="L13" s="496" t="s">
        <v>223</v>
      </c>
      <c r="M13" s="497">
        <v>263</v>
      </c>
      <c r="N13" s="444"/>
    </row>
    <row r="14" spans="1:15" s="431" customFormat="1" x14ac:dyDescent="0.3">
      <c r="A14" s="482">
        <v>505</v>
      </c>
      <c r="B14" s="483">
        <v>0</v>
      </c>
      <c r="C14" s="471">
        <v>20</v>
      </c>
      <c r="D14" s="664">
        <v>1000</v>
      </c>
      <c r="E14" s="670">
        <f>(C13+C14-10)/2</f>
        <v>10</v>
      </c>
      <c r="F14" s="671">
        <f t="shared" ref="F14:F21" si="2">(C14+C15-10)/2</f>
        <v>20</v>
      </c>
      <c r="G14" s="491">
        <f t="shared" si="0"/>
        <v>0.52277432712215322</v>
      </c>
      <c r="H14" s="672">
        <f t="shared" ref="H14:H26" si="3">(G14*(F14-E14))/100</f>
        <v>5.2277432712215327E-2</v>
      </c>
      <c r="I14" s="673">
        <f>SUM(H$13:H14)</f>
        <v>9.420289855072464E-2</v>
      </c>
      <c r="J14" s="494">
        <f t="shared" si="1"/>
        <v>0.47101449275362323</v>
      </c>
      <c r="K14" s="495"/>
      <c r="L14" s="496" t="s">
        <v>223</v>
      </c>
      <c r="M14" s="497">
        <v>239</v>
      </c>
      <c r="N14" s="444"/>
    </row>
    <row r="15" spans="1:15" s="431" customFormat="1" x14ac:dyDescent="0.3">
      <c r="A15" s="482">
        <v>485</v>
      </c>
      <c r="B15" s="483">
        <v>0</v>
      </c>
      <c r="C15" s="471">
        <v>30</v>
      </c>
      <c r="D15" s="664">
        <v>1000</v>
      </c>
      <c r="E15" s="670">
        <f>(C14+C15-10)/2</f>
        <v>20</v>
      </c>
      <c r="F15" s="671">
        <f t="shared" si="2"/>
        <v>30</v>
      </c>
      <c r="G15" s="491">
        <f t="shared" si="0"/>
        <v>0.50207039337474124</v>
      </c>
      <c r="H15" s="672">
        <f t="shared" si="3"/>
        <v>5.0207039337474127E-2</v>
      </c>
      <c r="I15" s="673">
        <f>SUM(H$13:H15)</f>
        <v>0.14440993788819878</v>
      </c>
      <c r="J15" s="494">
        <f t="shared" si="1"/>
        <v>0.48136645962732927</v>
      </c>
      <c r="K15" s="495"/>
      <c r="L15" s="496" t="s">
        <v>223</v>
      </c>
      <c r="M15" s="498">
        <v>245</v>
      </c>
      <c r="N15" s="444"/>
    </row>
    <row r="16" spans="1:15" s="431" customFormat="1" x14ac:dyDescent="0.3">
      <c r="A16" s="499">
        <v>490</v>
      </c>
      <c r="B16" s="483">
        <v>0</v>
      </c>
      <c r="C16" s="471">
        <v>40</v>
      </c>
      <c r="D16" s="664">
        <v>1000</v>
      </c>
      <c r="E16" s="670">
        <f t="shared" ref="E16:E21" si="4">(C15+C16-10)/2</f>
        <v>30</v>
      </c>
      <c r="F16" s="671">
        <f t="shared" si="2"/>
        <v>40</v>
      </c>
      <c r="G16" s="491">
        <f t="shared" si="0"/>
        <v>0.50724637681159424</v>
      </c>
      <c r="H16" s="672">
        <f t="shared" si="3"/>
        <v>5.0724637681159424E-2</v>
      </c>
      <c r="I16" s="673">
        <f>SUM(H$13:H16)</f>
        <v>0.1951345755693582</v>
      </c>
      <c r="J16" s="494">
        <f t="shared" si="1"/>
        <v>0.48783643892339557</v>
      </c>
      <c r="K16" s="495"/>
      <c r="L16" s="496" t="s">
        <v>223</v>
      </c>
      <c r="M16" s="497">
        <v>249</v>
      </c>
      <c r="N16" s="444"/>
    </row>
    <row r="17" spans="1:16" s="431" customFormat="1" x14ac:dyDescent="0.3">
      <c r="A17" s="499">
        <v>520</v>
      </c>
      <c r="B17" s="483">
        <v>0</v>
      </c>
      <c r="C17" s="471">
        <v>50</v>
      </c>
      <c r="D17" s="664">
        <v>1000</v>
      </c>
      <c r="E17" s="670">
        <f t="shared" si="4"/>
        <v>40</v>
      </c>
      <c r="F17" s="671">
        <f t="shared" si="2"/>
        <v>50</v>
      </c>
      <c r="G17" s="491">
        <f t="shared" si="0"/>
        <v>0.5383022774327122</v>
      </c>
      <c r="H17" s="672">
        <f t="shared" si="3"/>
        <v>5.3830227743271217E-2</v>
      </c>
      <c r="I17" s="673">
        <f>SUM(H$13:H17)</f>
        <v>0.24896480331262943</v>
      </c>
      <c r="J17" s="494">
        <f t="shared" si="1"/>
        <v>0.49792960662525887</v>
      </c>
      <c r="K17" s="674" t="s">
        <v>151</v>
      </c>
      <c r="L17" s="496"/>
      <c r="M17" s="497"/>
      <c r="N17" s="429"/>
    </row>
    <row r="18" spans="1:16" s="431" customFormat="1" x14ac:dyDescent="0.3">
      <c r="A18" s="499">
        <v>525</v>
      </c>
      <c r="B18" s="483">
        <v>0</v>
      </c>
      <c r="C18" s="471">
        <v>60</v>
      </c>
      <c r="D18" s="664">
        <v>1000</v>
      </c>
      <c r="E18" s="670">
        <f t="shared" si="4"/>
        <v>50</v>
      </c>
      <c r="F18" s="671">
        <f t="shared" si="2"/>
        <v>60</v>
      </c>
      <c r="G18" s="491">
        <f t="shared" si="0"/>
        <v>0.54347826086956519</v>
      </c>
      <c r="H18" s="672">
        <f t="shared" si="3"/>
        <v>5.434782608695652E-2</v>
      </c>
      <c r="I18" s="673">
        <f>SUM(H$13:H18)</f>
        <v>0.30331262939958598</v>
      </c>
      <c r="J18" s="494">
        <f t="shared" si="1"/>
        <v>0.50552104899931005</v>
      </c>
      <c r="K18" s="500"/>
      <c r="L18" s="496"/>
      <c r="M18" s="497"/>
      <c r="N18" s="429"/>
    </row>
    <row r="19" spans="1:16" s="431" customFormat="1" ht="10.199999999999999" customHeight="1" x14ac:dyDescent="0.3">
      <c r="A19" s="499">
        <v>490</v>
      </c>
      <c r="B19" s="483">
        <v>0</v>
      </c>
      <c r="C19" s="471">
        <v>70</v>
      </c>
      <c r="D19" s="664">
        <v>1000</v>
      </c>
      <c r="E19" s="670">
        <f t="shared" si="4"/>
        <v>60</v>
      </c>
      <c r="F19" s="671">
        <f t="shared" si="2"/>
        <v>70</v>
      </c>
      <c r="G19" s="491">
        <f t="shared" si="0"/>
        <v>0.50724637681159424</v>
      </c>
      <c r="H19" s="672">
        <f t="shared" si="3"/>
        <v>5.0724637681159424E-2</v>
      </c>
      <c r="I19" s="673">
        <f>SUM(H$13:H19)</f>
        <v>0.3540372670807454</v>
      </c>
      <c r="J19" s="494">
        <f t="shared" si="1"/>
        <v>0.50576752440106487</v>
      </c>
      <c r="K19" s="500"/>
      <c r="L19" s="496"/>
      <c r="M19" s="497"/>
      <c r="N19" s="501"/>
    </row>
    <row r="20" spans="1:16" s="431" customFormat="1" x14ac:dyDescent="0.3">
      <c r="A20" s="499">
        <v>500</v>
      </c>
      <c r="B20" s="483">
        <v>0</v>
      </c>
      <c r="C20" s="471">
        <v>80</v>
      </c>
      <c r="D20" s="664">
        <v>1000</v>
      </c>
      <c r="E20" s="670">
        <f t="shared" si="4"/>
        <v>70</v>
      </c>
      <c r="F20" s="671">
        <f t="shared" si="2"/>
        <v>80</v>
      </c>
      <c r="G20" s="491">
        <f t="shared" si="0"/>
        <v>0.51759834368530022</v>
      </c>
      <c r="H20" s="672">
        <f t="shared" si="3"/>
        <v>5.1759834368530024E-2</v>
      </c>
      <c r="I20" s="673">
        <f>SUM(H$13:H20)</f>
        <v>0.40579710144927544</v>
      </c>
      <c r="J20" s="494">
        <f t="shared" si="1"/>
        <v>0.50724637681159435</v>
      </c>
      <c r="K20" s="495"/>
      <c r="L20" s="496"/>
      <c r="M20" s="497"/>
      <c r="N20" s="502"/>
    </row>
    <row r="21" spans="1:16" s="504" customFormat="1" x14ac:dyDescent="0.3">
      <c r="A21" s="499">
        <v>505</v>
      </c>
      <c r="B21" s="483">
        <v>0</v>
      </c>
      <c r="C21" s="471">
        <v>90</v>
      </c>
      <c r="D21" s="664">
        <v>1000</v>
      </c>
      <c r="E21" s="670">
        <f t="shared" si="4"/>
        <v>80</v>
      </c>
      <c r="F21" s="671">
        <f t="shared" si="2"/>
        <v>90</v>
      </c>
      <c r="G21" s="491">
        <f t="shared" si="0"/>
        <v>0.52277432712215322</v>
      </c>
      <c r="H21" s="672">
        <f t="shared" si="3"/>
        <v>5.2277432712215327E-2</v>
      </c>
      <c r="I21" s="673">
        <f>SUM(H$13:H21)</f>
        <v>0.4580745341614908</v>
      </c>
      <c r="J21" s="494">
        <f t="shared" si="1"/>
        <v>0.50897170462387864</v>
      </c>
      <c r="K21" s="503"/>
      <c r="L21" s="496" t="s">
        <v>224</v>
      </c>
      <c r="M21" s="497">
        <v>356</v>
      </c>
      <c r="N21" s="502"/>
    </row>
    <row r="22" spans="1:16" s="504" customFormat="1" x14ac:dyDescent="0.3">
      <c r="A22" s="499">
        <v>465</v>
      </c>
      <c r="B22" s="483">
        <v>0</v>
      </c>
      <c r="C22" s="471">
        <v>100</v>
      </c>
      <c r="D22" s="664">
        <v>1000</v>
      </c>
      <c r="E22" s="670">
        <f t="shared" ref="E22:E41" si="5">(C21+C22-10)/2</f>
        <v>90</v>
      </c>
      <c r="F22" s="671">
        <f t="shared" ref="F22:F40" si="6">(C22+C23-10)/2</f>
        <v>100</v>
      </c>
      <c r="G22" s="491">
        <f t="shared" si="0"/>
        <v>0.48136645962732921</v>
      </c>
      <c r="H22" s="672">
        <f t="shared" si="3"/>
        <v>4.813664596273292E-2</v>
      </c>
      <c r="I22" s="673">
        <f>SUM(H$13:H22)</f>
        <v>0.50621118012422373</v>
      </c>
      <c r="J22" s="494">
        <f t="shared" si="1"/>
        <v>0.50621118012422373</v>
      </c>
      <c r="K22" s="495"/>
      <c r="L22" s="496"/>
      <c r="M22" s="506"/>
      <c r="N22" s="502"/>
    </row>
    <row r="23" spans="1:16" s="504" customFormat="1" x14ac:dyDescent="0.3">
      <c r="A23" s="499">
        <v>490</v>
      </c>
      <c r="B23" s="483">
        <v>0</v>
      </c>
      <c r="C23" s="471">
        <v>110</v>
      </c>
      <c r="D23" s="664">
        <v>1000</v>
      </c>
      <c r="E23" s="670">
        <f t="shared" si="5"/>
        <v>100</v>
      </c>
      <c r="F23" s="671">
        <f t="shared" si="6"/>
        <v>110</v>
      </c>
      <c r="G23" s="491">
        <f t="shared" si="0"/>
        <v>0.50724637681159424</v>
      </c>
      <c r="H23" s="672">
        <f t="shared" si="3"/>
        <v>5.0724637681159424E-2</v>
      </c>
      <c r="I23" s="673">
        <f>SUM(H$13:H23)</f>
        <v>0.55693581780538315</v>
      </c>
      <c r="J23" s="494">
        <f t="shared" si="1"/>
        <v>0.50630528891398474</v>
      </c>
      <c r="K23" s="675"/>
      <c r="L23" s="496"/>
      <c r="M23" s="521"/>
      <c r="N23" s="522"/>
    </row>
    <row r="24" spans="1:16" s="504" customFormat="1" x14ac:dyDescent="0.3">
      <c r="A24" s="499">
        <v>510</v>
      </c>
      <c r="B24" s="483">
        <v>0</v>
      </c>
      <c r="C24" s="471">
        <v>120</v>
      </c>
      <c r="D24" s="664">
        <v>1000</v>
      </c>
      <c r="E24" s="670">
        <f t="shared" si="5"/>
        <v>110</v>
      </c>
      <c r="F24" s="671">
        <f t="shared" si="6"/>
        <v>120</v>
      </c>
      <c r="G24" s="491">
        <f t="shared" si="0"/>
        <v>0.52795031055900621</v>
      </c>
      <c r="H24" s="672">
        <f t="shared" si="3"/>
        <v>5.2795031055900624E-2</v>
      </c>
      <c r="I24" s="673">
        <f>SUM(H$13:H24)</f>
        <v>0.60973084886128381</v>
      </c>
      <c r="J24" s="494">
        <f t="shared" si="1"/>
        <v>0.50810904071773655</v>
      </c>
      <c r="K24" s="676"/>
      <c r="L24" s="496"/>
      <c r="M24" s="521"/>
      <c r="N24" s="522"/>
    </row>
    <row r="25" spans="1:16" s="504" customFormat="1" x14ac:dyDescent="0.3">
      <c r="A25" s="499">
        <v>500</v>
      </c>
      <c r="B25" s="483">
        <v>0</v>
      </c>
      <c r="C25" s="471">
        <v>130</v>
      </c>
      <c r="D25" s="664">
        <v>1000</v>
      </c>
      <c r="E25" s="670">
        <f t="shared" si="5"/>
        <v>120</v>
      </c>
      <c r="F25" s="671">
        <f t="shared" si="6"/>
        <v>130</v>
      </c>
      <c r="G25" s="491">
        <f t="shared" si="0"/>
        <v>0.51759834368530022</v>
      </c>
      <c r="H25" s="672">
        <f t="shared" si="3"/>
        <v>5.1759834368530024E-2</v>
      </c>
      <c r="I25" s="673">
        <f>SUM(H$13:H25)</f>
        <v>0.66149068322981386</v>
      </c>
      <c r="J25" s="494">
        <f t="shared" si="1"/>
        <v>0.50883898709985675</v>
      </c>
      <c r="K25" s="676"/>
      <c r="L25" s="496"/>
      <c r="M25" s="521"/>
      <c r="N25" s="522"/>
    </row>
    <row r="26" spans="1:16" s="504" customFormat="1" x14ac:dyDescent="0.3">
      <c r="A26" s="499">
        <v>530</v>
      </c>
      <c r="B26" s="483">
        <v>0</v>
      </c>
      <c r="C26" s="471">
        <v>140</v>
      </c>
      <c r="D26" s="664">
        <v>1000</v>
      </c>
      <c r="E26" s="670">
        <f t="shared" si="5"/>
        <v>130</v>
      </c>
      <c r="F26" s="671">
        <f t="shared" si="6"/>
        <v>140</v>
      </c>
      <c r="G26" s="491">
        <f t="shared" si="0"/>
        <v>0.54865424430641818</v>
      </c>
      <c r="H26" s="672">
        <f t="shared" si="3"/>
        <v>5.4865424430641817E-2</v>
      </c>
      <c r="I26" s="673">
        <f>SUM(H$13:H26)</f>
        <v>0.71635610766045565</v>
      </c>
      <c r="J26" s="494">
        <f t="shared" si="1"/>
        <v>0.51168293404318255</v>
      </c>
      <c r="K26" s="676"/>
      <c r="L26" s="496"/>
      <c r="M26" s="497"/>
      <c r="N26" s="522"/>
    </row>
    <row r="27" spans="1:16" s="504" customFormat="1" x14ac:dyDescent="0.3">
      <c r="A27" s="499">
        <v>530</v>
      </c>
      <c r="B27" s="483">
        <v>0</v>
      </c>
      <c r="C27" s="471">
        <v>150</v>
      </c>
      <c r="D27" s="664">
        <v>1000</v>
      </c>
      <c r="E27" s="670">
        <f t="shared" si="5"/>
        <v>140</v>
      </c>
      <c r="F27" s="671">
        <f t="shared" si="6"/>
        <v>150</v>
      </c>
      <c r="G27" s="491">
        <f t="shared" si="0"/>
        <v>0.54865424430641818</v>
      </c>
      <c r="H27" s="672">
        <f t="shared" ref="H27:H41" si="7">(G27*(F27-E27))/100</f>
        <v>5.4865424430641817E-2</v>
      </c>
      <c r="I27" s="673">
        <f>SUM(H$13:H27)</f>
        <v>0.77122153209109745</v>
      </c>
      <c r="J27" s="494">
        <f t="shared" ref="J27:J41" si="8">I27/F27*100</f>
        <v>0.51414768806073163</v>
      </c>
      <c r="K27" s="676"/>
      <c r="L27" s="496"/>
      <c r="M27" s="497"/>
      <c r="N27" s="522"/>
    </row>
    <row r="28" spans="1:16" s="504" customFormat="1" x14ac:dyDescent="0.3">
      <c r="A28" s="499">
        <v>520</v>
      </c>
      <c r="B28" s="483">
        <v>0</v>
      </c>
      <c r="C28" s="471">
        <v>160</v>
      </c>
      <c r="D28" s="664">
        <v>1000</v>
      </c>
      <c r="E28" s="670">
        <f t="shared" si="5"/>
        <v>150</v>
      </c>
      <c r="F28" s="671">
        <f t="shared" si="6"/>
        <v>160</v>
      </c>
      <c r="G28" s="491">
        <f t="shared" si="0"/>
        <v>0.5383022774327122</v>
      </c>
      <c r="H28" s="672">
        <f t="shared" si="7"/>
        <v>5.3830227743271217E-2</v>
      </c>
      <c r="I28" s="673">
        <f>SUM(H$13:H28)</f>
        <v>0.82505175983436863</v>
      </c>
      <c r="J28" s="494">
        <f t="shared" si="8"/>
        <v>0.51565734989648038</v>
      </c>
      <c r="K28" s="676"/>
      <c r="L28" s="496"/>
      <c r="M28" s="497"/>
      <c r="N28" s="522"/>
    </row>
    <row r="29" spans="1:16" x14ac:dyDescent="0.2">
      <c r="A29" s="499">
        <v>535</v>
      </c>
      <c r="B29" s="483">
        <v>0</v>
      </c>
      <c r="C29" s="471">
        <v>170</v>
      </c>
      <c r="D29" s="664">
        <v>1000</v>
      </c>
      <c r="E29" s="670">
        <f t="shared" si="5"/>
        <v>160</v>
      </c>
      <c r="F29" s="671">
        <f t="shared" si="6"/>
        <v>170</v>
      </c>
      <c r="G29" s="491">
        <f t="shared" si="0"/>
        <v>0.55383022774327118</v>
      </c>
      <c r="H29" s="672">
        <f t="shared" si="7"/>
        <v>5.5383022774327113E-2</v>
      </c>
      <c r="I29" s="673">
        <f>SUM(H$13:H29)</f>
        <v>0.88043478260869579</v>
      </c>
      <c r="J29" s="494">
        <f t="shared" si="8"/>
        <v>0.51790281329923282</v>
      </c>
      <c r="K29" s="676"/>
      <c r="L29" s="496"/>
      <c r="M29" s="497"/>
      <c r="N29" s="522"/>
      <c r="O29" s="504"/>
      <c r="P29" s="504"/>
    </row>
    <row r="30" spans="1:16" x14ac:dyDescent="0.2">
      <c r="A30" s="499">
        <v>540</v>
      </c>
      <c r="B30" s="483">
        <v>0</v>
      </c>
      <c r="C30" s="471">
        <v>180</v>
      </c>
      <c r="D30" s="664">
        <v>1000</v>
      </c>
      <c r="E30" s="670">
        <f t="shared" si="5"/>
        <v>170</v>
      </c>
      <c r="F30" s="671">
        <f t="shared" si="6"/>
        <v>180</v>
      </c>
      <c r="G30" s="491">
        <f t="shared" si="0"/>
        <v>0.55900621118012417</v>
      </c>
      <c r="H30" s="672">
        <f t="shared" si="7"/>
        <v>5.5900621118012417E-2</v>
      </c>
      <c r="I30" s="673">
        <f>SUM(H$13:H30)</f>
        <v>0.9363354037267082</v>
      </c>
      <c r="J30" s="494">
        <f t="shared" si="8"/>
        <v>0.52018633540372672</v>
      </c>
      <c r="K30" s="676"/>
      <c r="L30" s="496"/>
      <c r="M30" s="497"/>
      <c r="N30" s="522"/>
      <c r="O30" s="504"/>
      <c r="P30" s="504"/>
    </row>
    <row r="31" spans="1:16" x14ac:dyDescent="0.2">
      <c r="A31" s="499">
        <v>490</v>
      </c>
      <c r="B31" s="483">
        <v>0</v>
      </c>
      <c r="C31" s="471">
        <v>190</v>
      </c>
      <c r="D31" s="664">
        <v>1000</v>
      </c>
      <c r="E31" s="670">
        <f t="shared" si="5"/>
        <v>180</v>
      </c>
      <c r="F31" s="671">
        <f t="shared" si="6"/>
        <v>190</v>
      </c>
      <c r="G31" s="491">
        <f t="shared" si="0"/>
        <v>0.50724637681159424</v>
      </c>
      <c r="H31" s="672">
        <f t="shared" si="7"/>
        <v>5.0724637681159424E-2</v>
      </c>
      <c r="I31" s="673">
        <f>SUM(H$13:H31)</f>
        <v>0.98706004140786763</v>
      </c>
      <c r="J31" s="494">
        <f t="shared" si="8"/>
        <v>0.51950528495150927</v>
      </c>
      <c r="K31" s="676"/>
      <c r="L31" s="496"/>
      <c r="M31" s="497"/>
      <c r="N31" s="522"/>
      <c r="O31" s="504"/>
      <c r="P31" s="504"/>
    </row>
    <row r="32" spans="1:16" x14ac:dyDescent="0.2">
      <c r="A32" s="499">
        <v>495</v>
      </c>
      <c r="B32" s="483">
        <v>0</v>
      </c>
      <c r="C32" s="471">
        <v>200</v>
      </c>
      <c r="D32" s="664">
        <v>1000</v>
      </c>
      <c r="E32" s="670">
        <f t="shared" si="5"/>
        <v>190</v>
      </c>
      <c r="F32" s="671">
        <f t="shared" si="6"/>
        <v>200</v>
      </c>
      <c r="G32" s="491">
        <f t="shared" si="0"/>
        <v>0.51242236024844723</v>
      </c>
      <c r="H32" s="672">
        <f t="shared" si="7"/>
        <v>5.124223602484472E-2</v>
      </c>
      <c r="I32" s="673">
        <f>SUM(H$13:H32)</f>
        <v>1.0383022774327124</v>
      </c>
      <c r="J32" s="494">
        <f t="shared" si="8"/>
        <v>0.51915113871635621</v>
      </c>
      <c r="K32" s="505"/>
      <c r="L32" s="496"/>
      <c r="M32" s="497"/>
      <c r="N32" s="522"/>
      <c r="O32" s="504"/>
      <c r="P32" s="504"/>
    </row>
    <row r="33" spans="1:17" x14ac:dyDescent="0.2">
      <c r="A33" s="499">
        <v>505</v>
      </c>
      <c r="B33" s="483">
        <v>0</v>
      </c>
      <c r="C33" s="471">
        <v>210</v>
      </c>
      <c r="D33" s="664">
        <v>1000</v>
      </c>
      <c r="E33" s="670">
        <f t="shared" si="5"/>
        <v>200</v>
      </c>
      <c r="F33" s="671">
        <f t="shared" si="6"/>
        <v>210</v>
      </c>
      <c r="G33" s="491">
        <f t="shared" si="0"/>
        <v>0.52277432712215322</v>
      </c>
      <c r="H33" s="672">
        <f t="shared" si="7"/>
        <v>5.2277432712215327E-2</v>
      </c>
      <c r="I33" s="673">
        <f>SUM(H$13:H33)</f>
        <v>1.0905797101449277</v>
      </c>
      <c r="J33" s="494">
        <f t="shared" si="8"/>
        <v>0.51932367149758463</v>
      </c>
      <c r="K33" s="505"/>
      <c r="L33" s="496"/>
      <c r="M33" s="497"/>
      <c r="N33" s="522"/>
      <c r="O33" s="504"/>
      <c r="P33" s="504"/>
    </row>
    <row r="34" spans="1:17" x14ac:dyDescent="0.2">
      <c r="A34" s="499">
        <v>490</v>
      </c>
      <c r="B34" s="483">
        <v>0</v>
      </c>
      <c r="C34" s="471">
        <v>220</v>
      </c>
      <c r="D34" s="664">
        <v>1000</v>
      </c>
      <c r="E34" s="670">
        <f t="shared" si="5"/>
        <v>210</v>
      </c>
      <c r="F34" s="671">
        <f t="shared" si="6"/>
        <v>220</v>
      </c>
      <c r="G34" s="491">
        <f t="shared" si="0"/>
        <v>0.50724637681159424</v>
      </c>
      <c r="H34" s="672">
        <f t="shared" si="7"/>
        <v>5.0724637681159424E-2</v>
      </c>
      <c r="I34" s="673">
        <f>SUM(H$13:H34)</f>
        <v>1.1413043478260871</v>
      </c>
      <c r="J34" s="494">
        <f t="shared" si="8"/>
        <v>0.51877470355731226</v>
      </c>
      <c r="K34" s="505"/>
      <c r="L34" s="496"/>
      <c r="M34" s="497"/>
      <c r="N34" s="534"/>
      <c r="O34" s="533"/>
      <c r="P34" s="533"/>
    </row>
    <row r="35" spans="1:17" x14ac:dyDescent="0.2">
      <c r="A35" s="499">
        <v>525</v>
      </c>
      <c r="B35" s="483">
        <v>0</v>
      </c>
      <c r="C35" s="471">
        <v>230</v>
      </c>
      <c r="D35" s="664">
        <v>1000</v>
      </c>
      <c r="E35" s="670">
        <f t="shared" si="5"/>
        <v>220</v>
      </c>
      <c r="F35" s="671">
        <f t="shared" si="6"/>
        <v>230</v>
      </c>
      <c r="G35" s="491">
        <f t="shared" si="0"/>
        <v>0.54347826086956519</v>
      </c>
      <c r="H35" s="672">
        <f t="shared" si="7"/>
        <v>5.434782608695652E-2</v>
      </c>
      <c r="I35" s="673">
        <f>SUM(H$13:H35)</f>
        <v>1.1956521739130437</v>
      </c>
      <c r="J35" s="494">
        <f t="shared" si="8"/>
        <v>0.51984877126654072</v>
      </c>
      <c r="K35" s="505"/>
      <c r="L35" s="496"/>
      <c r="M35" s="497"/>
      <c r="N35" s="535"/>
      <c r="O35" s="536"/>
      <c r="P35" s="537"/>
      <c r="Q35" s="536"/>
    </row>
    <row r="36" spans="1:17" x14ac:dyDescent="0.2">
      <c r="A36" s="499">
        <v>485</v>
      </c>
      <c r="B36" s="483">
        <v>0</v>
      </c>
      <c r="C36" s="471">
        <v>240</v>
      </c>
      <c r="D36" s="664">
        <v>1000</v>
      </c>
      <c r="E36" s="670">
        <f t="shared" si="5"/>
        <v>230</v>
      </c>
      <c r="F36" s="671">
        <f t="shared" si="6"/>
        <v>240</v>
      </c>
      <c r="G36" s="491">
        <f t="shared" si="0"/>
        <v>0.50207039337474124</v>
      </c>
      <c r="H36" s="672">
        <f t="shared" si="7"/>
        <v>5.0207039337474127E-2</v>
      </c>
      <c r="I36" s="673">
        <f>SUM(H$13:H36)</f>
        <v>1.2458592132505177</v>
      </c>
      <c r="J36" s="494">
        <f t="shared" si="8"/>
        <v>0.51910800552104908</v>
      </c>
      <c r="K36" s="505"/>
      <c r="L36" s="496"/>
      <c r="M36" s="497"/>
      <c r="N36" s="535"/>
      <c r="O36" s="536"/>
      <c r="P36" s="538"/>
      <c r="Q36" s="536"/>
    </row>
    <row r="37" spans="1:17" x14ac:dyDescent="0.2">
      <c r="A37" s="499">
        <v>475</v>
      </c>
      <c r="B37" s="483">
        <v>0</v>
      </c>
      <c r="C37" s="471">
        <v>250</v>
      </c>
      <c r="D37" s="664">
        <v>1000</v>
      </c>
      <c r="E37" s="670">
        <f t="shared" si="5"/>
        <v>240</v>
      </c>
      <c r="F37" s="671">
        <f t="shared" si="6"/>
        <v>250</v>
      </c>
      <c r="G37" s="491">
        <f t="shared" si="0"/>
        <v>0.4917184265010352</v>
      </c>
      <c r="H37" s="672">
        <f t="shared" si="7"/>
        <v>4.917184265010352E-2</v>
      </c>
      <c r="I37" s="673">
        <f>SUM(H$13:H37)</f>
        <v>1.2950310559006213</v>
      </c>
      <c r="J37" s="494">
        <f t="shared" si="8"/>
        <v>0.51801242236024847</v>
      </c>
      <c r="K37" s="505"/>
      <c r="L37" s="496"/>
      <c r="M37" s="497"/>
      <c r="N37" s="539"/>
      <c r="O37" s="536"/>
      <c r="P37" s="536"/>
      <c r="Q37" s="536"/>
    </row>
    <row r="38" spans="1:17" x14ac:dyDescent="0.2">
      <c r="A38" s="499">
        <v>500</v>
      </c>
      <c r="B38" s="483">
        <v>0</v>
      </c>
      <c r="C38" s="471">
        <v>260</v>
      </c>
      <c r="D38" s="664">
        <v>1000</v>
      </c>
      <c r="E38" s="670">
        <f t="shared" si="5"/>
        <v>250</v>
      </c>
      <c r="F38" s="671">
        <f t="shared" si="6"/>
        <v>260</v>
      </c>
      <c r="G38" s="491">
        <f t="shared" si="0"/>
        <v>0.51759834368530022</v>
      </c>
      <c r="H38" s="672">
        <f t="shared" si="7"/>
        <v>5.1759834368530024E-2</v>
      </c>
      <c r="I38" s="673">
        <f>SUM(H$13:H38)</f>
        <v>1.3467908902691512</v>
      </c>
      <c r="J38" s="494">
        <f t="shared" si="8"/>
        <v>0.51799649625736588</v>
      </c>
      <c r="K38" s="505"/>
      <c r="L38" s="496"/>
      <c r="M38" s="497"/>
      <c r="N38" s="540"/>
      <c r="O38" s="541"/>
      <c r="P38" s="533"/>
    </row>
    <row r="39" spans="1:17" x14ac:dyDescent="0.2">
      <c r="A39" s="499">
        <v>490</v>
      </c>
      <c r="B39" s="483">
        <v>0</v>
      </c>
      <c r="C39" s="471">
        <v>270</v>
      </c>
      <c r="D39" s="664">
        <v>1000</v>
      </c>
      <c r="E39" s="670">
        <f t="shared" si="5"/>
        <v>260</v>
      </c>
      <c r="F39" s="671">
        <f t="shared" si="6"/>
        <v>270</v>
      </c>
      <c r="G39" s="491">
        <f t="shared" si="0"/>
        <v>0.50724637681159424</v>
      </c>
      <c r="H39" s="672">
        <f t="shared" si="7"/>
        <v>5.0724637681159424E-2</v>
      </c>
      <c r="I39" s="673">
        <f>SUM(H$13:H39)</f>
        <v>1.3975155279503106</v>
      </c>
      <c r="J39" s="494">
        <f t="shared" si="8"/>
        <v>0.51759834368530022</v>
      </c>
      <c r="K39" s="505"/>
      <c r="L39" s="496"/>
      <c r="M39" s="497"/>
      <c r="N39" s="541"/>
      <c r="O39" s="541"/>
      <c r="P39" s="533"/>
    </row>
    <row r="40" spans="1:17" x14ac:dyDescent="0.2">
      <c r="A40" s="499">
        <v>510</v>
      </c>
      <c r="B40" s="483">
        <v>0</v>
      </c>
      <c r="C40" s="471">
        <v>280</v>
      </c>
      <c r="D40" s="664">
        <v>1000</v>
      </c>
      <c r="E40" s="670">
        <f t="shared" si="5"/>
        <v>270</v>
      </c>
      <c r="F40" s="671">
        <f t="shared" si="6"/>
        <v>280</v>
      </c>
      <c r="G40" s="491">
        <f t="shared" si="0"/>
        <v>0.52795031055900621</v>
      </c>
      <c r="H40" s="672">
        <f t="shared" si="7"/>
        <v>5.2795031055900624E-2</v>
      </c>
      <c r="I40" s="673">
        <f>SUM(H$13:H40)</f>
        <v>1.4503105590062113</v>
      </c>
      <c r="J40" s="494">
        <f t="shared" si="8"/>
        <v>0.51796805678793256</v>
      </c>
      <c r="K40" s="505"/>
      <c r="L40" s="496"/>
      <c r="M40" s="497"/>
      <c r="O40" s="533"/>
      <c r="P40" s="533"/>
    </row>
    <row r="41" spans="1:17" x14ac:dyDescent="0.2">
      <c r="A41" s="499">
        <v>465</v>
      </c>
      <c r="B41" s="483">
        <v>0</v>
      </c>
      <c r="C41" s="471">
        <v>290</v>
      </c>
      <c r="D41" s="664">
        <v>1000</v>
      </c>
      <c r="E41" s="670">
        <f t="shared" si="5"/>
        <v>280</v>
      </c>
      <c r="F41" s="671">
        <v>295</v>
      </c>
      <c r="G41" s="491">
        <f t="shared" si="0"/>
        <v>0.48136645962732921</v>
      </c>
      <c r="H41" s="672">
        <f t="shared" si="7"/>
        <v>7.2204968944099376E-2</v>
      </c>
      <c r="I41" s="673">
        <f>SUM(H$13:H41)</f>
        <v>1.5225155279503106</v>
      </c>
      <c r="J41" s="494">
        <f t="shared" si="8"/>
        <v>0.516106958627224</v>
      </c>
      <c r="K41" s="505" t="s">
        <v>225</v>
      </c>
      <c r="L41" s="496"/>
      <c r="M41" s="497"/>
      <c r="O41" s="533"/>
      <c r="P41" s="533"/>
    </row>
    <row r="42" spans="1:17" x14ac:dyDescent="0.2">
      <c r="A42" s="499"/>
      <c r="B42" s="483"/>
      <c r="C42" s="471"/>
      <c r="D42" s="664"/>
      <c r="E42" s="670"/>
      <c r="F42" s="671"/>
      <c r="G42" s="491"/>
      <c r="H42" s="672"/>
      <c r="I42" s="673"/>
      <c r="J42" s="494"/>
      <c r="K42" s="505"/>
      <c r="L42" s="496"/>
      <c r="M42" s="497"/>
      <c r="O42" s="533"/>
      <c r="P42" s="533"/>
    </row>
    <row r="43" spans="1:17" x14ac:dyDescent="0.2">
      <c r="A43" s="499"/>
      <c r="B43" s="483"/>
      <c r="C43" s="471"/>
      <c r="D43" s="664"/>
      <c r="E43" s="670"/>
      <c r="F43" s="671"/>
      <c r="G43" s="491"/>
      <c r="H43" s="672"/>
      <c r="I43" s="673"/>
      <c r="J43" s="494"/>
      <c r="K43" s="505"/>
      <c r="L43" s="496"/>
      <c r="M43" s="497"/>
      <c r="O43" s="533"/>
      <c r="P43" s="533"/>
    </row>
    <row r="44" spans="1:17" x14ac:dyDescent="0.2">
      <c r="A44" s="499"/>
      <c r="B44" s="483"/>
      <c r="C44" s="471"/>
      <c r="D44" s="664"/>
      <c r="E44" s="670"/>
      <c r="F44" s="671"/>
      <c r="G44" s="491"/>
      <c r="H44" s="672"/>
      <c r="I44" s="673"/>
      <c r="J44" s="494"/>
      <c r="K44" s="505"/>
      <c r="L44" s="496"/>
      <c r="M44" s="497"/>
      <c r="O44" s="533"/>
      <c r="P44" s="533"/>
    </row>
    <row r="45" spans="1:17" x14ac:dyDescent="0.2">
      <c r="A45" s="499"/>
      <c r="B45" s="483"/>
      <c r="C45" s="471"/>
      <c r="D45" s="664"/>
      <c r="E45" s="670"/>
      <c r="F45" s="671"/>
      <c r="G45" s="491"/>
      <c r="H45" s="672"/>
      <c r="I45" s="673"/>
      <c r="J45" s="494"/>
      <c r="K45" s="505"/>
      <c r="L45" s="496"/>
      <c r="M45" s="497"/>
      <c r="O45" s="533"/>
      <c r="P45" s="533"/>
    </row>
    <row r="46" spans="1:17" x14ac:dyDescent="0.2">
      <c r="A46" s="499"/>
      <c r="B46" s="483"/>
      <c r="C46" s="471"/>
      <c r="D46" s="664"/>
      <c r="E46" s="670"/>
      <c r="F46" s="671"/>
      <c r="G46" s="491"/>
      <c r="H46" s="672"/>
      <c r="I46" s="673"/>
      <c r="J46" s="494"/>
      <c r="K46" s="505"/>
      <c r="L46" s="496"/>
      <c r="M46" s="497"/>
      <c r="O46" s="533"/>
      <c r="P46" s="533"/>
    </row>
    <row r="47" spans="1:17" x14ac:dyDescent="0.2">
      <c r="A47" s="499"/>
      <c r="B47" s="483"/>
      <c r="C47" s="471"/>
      <c r="D47" s="664"/>
      <c r="E47" s="670"/>
      <c r="F47" s="671"/>
      <c r="G47" s="491"/>
      <c r="H47" s="672"/>
      <c r="I47" s="673"/>
      <c r="J47" s="494"/>
      <c r="K47" s="505"/>
      <c r="L47" s="496"/>
      <c r="M47" s="497"/>
      <c r="O47" s="533"/>
      <c r="P47" s="533"/>
    </row>
    <row r="48" spans="1:17" x14ac:dyDescent="0.2">
      <c r="A48" s="499"/>
      <c r="B48" s="483"/>
      <c r="C48" s="471"/>
      <c r="D48" s="664"/>
      <c r="E48" s="670"/>
      <c r="F48" s="671"/>
      <c r="G48" s="491"/>
      <c r="H48" s="672"/>
      <c r="I48" s="673"/>
      <c r="J48" s="494"/>
      <c r="K48" s="505"/>
      <c r="L48" s="496"/>
      <c r="M48" s="497"/>
      <c r="O48" s="533"/>
      <c r="P48" s="533"/>
    </row>
    <row r="49" spans="1:17" x14ac:dyDescent="0.2">
      <c r="A49" s="499"/>
      <c r="B49" s="483"/>
      <c r="C49" s="471"/>
      <c r="D49" s="664"/>
      <c r="E49" s="670"/>
      <c r="F49" s="671"/>
      <c r="G49" s="491"/>
      <c r="H49" s="672"/>
      <c r="I49" s="673"/>
      <c r="J49" s="494"/>
      <c r="K49" s="505"/>
      <c r="L49" s="496"/>
      <c r="M49" s="497"/>
      <c r="O49" s="533"/>
      <c r="P49" s="533"/>
    </row>
    <row r="50" spans="1:17" x14ac:dyDescent="0.2">
      <c r="A50" s="499"/>
      <c r="B50" s="483"/>
      <c r="C50" s="471"/>
      <c r="D50" s="664"/>
      <c r="E50" s="670"/>
      <c r="F50" s="671"/>
      <c r="G50" s="491"/>
      <c r="H50" s="672"/>
      <c r="I50" s="673"/>
      <c r="J50" s="494"/>
      <c r="K50" s="505"/>
      <c r="L50" s="496"/>
      <c r="M50" s="497"/>
      <c r="O50" s="533"/>
      <c r="P50" s="533"/>
    </row>
    <row r="51" spans="1:17" x14ac:dyDescent="0.2">
      <c r="A51" s="499"/>
      <c r="B51" s="483"/>
      <c r="C51" s="471"/>
      <c r="D51" s="664"/>
      <c r="E51" s="670"/>
      <c r="F51" s="671"/>
      <c r="G51" s="491"/>
      <c r="H51" s="672"/>
      <c r="I51" s="673"/>
      <c r="J51" s="494"/>
      <c r="K51" s="505"/>
      <c r="L51" s="496"/>
      <c r="M51" s="497"/>
      <c r="O51" s="533"/>
      <c r="P51" s="533"/>
    </row>
    <row r="52" spans="1:17" ht="10.8" thickBot="1" x14ac:dyDescent="0.25">
      <c r="A52" s="499"/>
      <c r="B52" s="483"/>
      <c r="C52" s="471"/>
      <c r="D52" s="664"/>
      <c r="E52" s="670"/>
      <c r="F52" s="671"/>
      <c r="G52" s="491"/>
      <c r="H52" s="672"/>
      <c r="I52" s="673"/>
      <c r="J52" s="494"/>
      <c r="K52" s="505"/>
      <c r="L52" s="496"/>
      <c r="M52" s="542"/>
      <c r="O52" s="533"/>
      <c r="P52" s="533"/>
    </row>
    <row r="53" spans="1:17" x14ac:dyDescent="0.2">
      <c r="A53" s="499"/>
      <c r="B53" s="483"/>
      <c r="C53" s="471"/>
      <c r="D53" s="664"/>
      <c r="E53" s="670"/>
      <c r="F53" s="671"/>
      <c r="G53" s="491"/>
      <c r="H53" s="672"/>
      <c r="I53" s="673"/>
      <c r="J53" s="494"/>
      <c r="K53" s="505"/>
      <c r="L53" s="543" t="s">
        <v>153</v>
      </c>
      <c r="M53" s="544">
        <f>AVERAGE(M12:M52)</f>
        <v>274.5</v>
      </c>
      <c r="O53" s="533"/>
      <c r="P53" s="533"/>
    </row>
    <row r="54" spans="1:17" x14ac:dyDescent="0.2">
      <c r="A54" s="499"/>
      <c r="B54" s="483"/>
      <c r="C54" s="471"/>
      <c r="D54" s="664"/>
      <c r="E54" s="670"/>
      <c r="F54" s="671"/>
      <c r="G54" s="491"/>
      <c r="H54" s="672"/>
      <c r="I54" s="673"/>
      <c r="J54" s="494"/>
      <c r="K54" s="505"/>
      <c r="L54" s="370" t="s">
        <v>154</v>
      </c>
      <c r="M54" s="542">
        <f>STDEV(M12:M52)</f>
        <v>44.666542288384044</v>
      </c>
      <c r="N54" s="545"/>
      <c r="P54" s="533"/>
    </row>
    <row r="55" spans="1:17" x14ac:dyDescent="0.2">
      <c r="A55" s="546" t="s">
        <v>155</v>
      </c>
      <c r="B55" s="547"/>
      <c r="C55" s="548"/>
      <c r="D55" s="677"/>
      <c r="E55" s="678"/>
      <c r="F55" s="679"/>
      <c r="G55" s="553"/>
      <c r="H55" s="680"/>
      <c r="I55" s="681"/>
      <c r="J55" s="556"/>
      <c r="K55" s="557"/>
      <c r="L55" s="370" t="s">
        <v>156</v>
      </c>
      <c r="M55" s="542">
        <f>M54/SQRT(COUNT(M12:M51))</f>
        <v>18.235039530164631</v>
      </c>
      <c r="N55" s="540"/>
      <c r="Q55" s="545"/>
    </row>
    <row r="56" spans="1:17" x14ac:dyDescent="0.2">
      <c r="A56" s="558"/>
      <c r="B56" s="559"/>
      <c r="C56" s="560"/>
      <c r="D56" s="682"/>
      <c r="E56" s="683"/>
      <c r="F56" s="684"/>
      <c r="G56" s="685"/>
      <c r="H56" s="566"/>
      <c r="I56" s="686"/>
      <c r="J56" s="687"/>
      <c r="K56" s="569"/>
      <c r="L56" s="370" t="s">
        <v>157</v>
      </c>
      <c r="M56" s="542">
        <f>MAX(M12:M51)</f>
        <v>356</v>
      </c>
      <c r="N56" s="540"/>
      <c r="O56" s="533"/>
      <c r="P56" s="533"/>
    </row>
    <row r="57" spans="1:17" ht="10.8" thickBot="1" x14ac:dyDescent="0.25">
      <c r="A57" s="570"/>
      <c r="B57" s="571"/>
      <c r="C57" s="572"/>
      <c r="D57" s="688"/>
      <c r="E57" s="689"/>
      <c r="F57" s="690"/>
      <c r="G57" s="691"/>
      <c r="H57" s="578"/>
      <c r="I57" s="692"/>
      <c r="J57" s="693"/>
      <c r="K57" s="581"/>
      <c r="L57" s="582" t="s">
        <v>158</v>
      </c>
      <c r="M57" s="583">
        <f>MIN(M12:M51)</f>
        <v>239</v>
      </c>
      <c r="N57" s="545"/>
      <c r="O57" s="533"/>
      <c r="P57" s="533"/>
    </row>
    <row r="58" spans="1:17" x14ac:dyDescent="0.2">
      <c r="A58" s="584"/>
      <c r="B58" s="584"/>
      <c r="C58" s="585"/>
      <c r="D58" s="586"/>
      <c r="E58" s="586"/>
      <c r="F58" s="586"/>
      <c r="G58" s="587"/>
      <c r="H58" s="588"/>
      <c r="I58" s="589"/>
      <c r="J58" s="590"/>
      <c r="K58" s="591"/>
      <c r="L58" s="592"/>
      <c r="M58" s="545"/>
      <c r="O58" s="533"/>
      <c r="P58" s="533"/>
    </row>
    <row r="59" spans="1:17" x14ac:dyDescent="0.2">
      <c r="A59" s="545"/>
      <c r="B59" s="545"/>
      <c r="C59" s="594"/>
      <c r="D59" s="594"/>
      <c r="E59" s="594"/>
      <c r="F59" s="594"/>
      <c r="G59" s="589"/>
      <c r="H59" s="588"/>
      <c r="I59" s="589"/>
      <c r="J59" s="590"/>
      <c r="K59" s="595"/>
      <c r="L59" s="592"/>
      <c r="M59" s="545"/>
      <c r="O59" s="533"/>
      <c r="P59" s="533"/>
    </row>
    <row r="60" spans="1:17" x14ac:dyDescent="0.2">
      <c r="A60" s="596"/>
      <c r="B60" s="596"/>
      <c r="C60" s="596"/>
      <c r="D60" s="596"/>
      <c r="E60" s="590"/>
      <c r="F60" s="597"/>
      <c r="G60" s="545"/>
      <c r="H60" s="533"/>
      <c r="I60" s="545"/>
      <c r="J60" s="533"/>
      <c r="K60" s="533"/>
      <c r="L60" s="545"/>
      <c r="M60" s="545"/>
      <c r="O60" s="533"/>
      <c r="P60" s="533"/>
    </row>
    <row r="61" spans="1:17" x14ac:dyDescent="0.2">
      <c r="A61" s="598"/>
      <c r="B61" s="598"/>
      <c r="C61" s="596"/>
      <c r="D61" s="596"/>
      <c r="E61" s="590"/>
      <c r="F61" s="597"/>
      <c r="G61" s="533"/>
      <c r="H61" s="533"/>
      <c r="I61" s="545"/>
      <c r="J61" s="533"/>
      <c r="K61" s="533"/>
      <c r="L61" s="545"/>
      <c r="M61" s="545"/>
      <c r="O61" s="533"/>
      <c r="P61" s="533"/>
    </row>
    <row r="62" spans="1:17" x14ac:dyDescent="0.2">
      <c r="A62" s="442"/>
      <c r="B62" s="442"/>
      <c r="C62" s="596"/>
      <c r="D62" s="596"/>
      <c r="E62" s="590"/>
      <c r="F62" s="597"/>
      <c r="G62" s="533"/>
      <c r="H62" s="533"/>
      <c r="I62" s="545"/>
      <c r="J62" s="533"/>
      <c r="K62" s="533"/>
      <c r="L62" s="545"/>
      <c r="M62" s="545"/>
      <c r="O62" s="533"/>
      <c r="P62" s="533"/>
    </row>
    <row r="63" spans="1:17" x14ac:dyDescent="0.2">
      <c r="A63" s="596"/>
      <c r="B63" s="596"/>
      <c r="C63" s="596"/>
      <c r="D63" s="596"/>
      <c r="E63" s="590"/>
      <c r="F63" s="597"/>
      <c r="G63" s="533"/>
      <c r="H63" s="533"/>
      <c r="I63" s="545"/>
      <c r="J63" s="533"/>
      <c r="K63" s="533"/>
      <c r="L63" s="545"/>
      <c r="M63" s="545"/>
      <c r="O63" s="533"/>
      <c r="P63" s="533"/>
    </row>
    <row r="64" spans="1:17" x14ac:dyDescent="0.2">
      <c r="A64" s="596"/>
      <c r="B64" s="596"/>
      <c r="C64" s="596"/>
      <c r="D64" s="596"/>
      <c r="E64" s="590"/>
      <c r="F64" s="597"/>
      <c r="G64" s="533"/>
      <c r="H64" s="533"/>
      <c r="I64" s="545"/>
      <c r="J64" s="589"/>
      <c r="K64" s="533"/>
      <c r="L64" s="545"/>
      <c r="M64" s="545"/>
      <c r="O64" s="533"/>
      <c r="P64" s="533"/>
    </row>
    <row r="65" spans="1:16" x14ac:dyDescent="0.2">
      <c r="A65" s="596"/>
      <c r="B65" s="596"/>
      <c r="C65" s="596"/>
      <c r="D65" s="596"/>
      <c r="E65" s="590"/>
      <c r="F65" s="597"/>
      <c r="G65" s="533"/>
      <c r="H65" s="533"/>
      <c r="I65" s="545"/>
      <c r="J65" s="589"/>
      <c r="K65" s="533"/>
      <c r="L65" s="545"/>
      <c r="M65" s="545"/>
      <c r="O65" s="533"/>
      <c r="P65" s="533"/>
    </row>
    <row r="66" spans="1:16" x14ac:dyDescent="0.2">
      <c r="A66" s="596"/>
      <c r="B66" s="596"/>
      <c r="C66" s="596"/>
      <c r="D66" s="596"/>
      <c r="E66" s="590"/>
      <c r="F66" s="597"/>
      <c r="G66" s="533"/>
      <c r="H66" s="533"/>
      <c r="I66" s="545"/>
      <c r="J66" s="533"/>
      <c r="K66" s="533"/>
      <c r="L66" s="545"/>
      <c r="M66" s="545"/>
      <c r="O66" s="533"/>
      <c r="P66" s="533"/>
    </row>
    <row r="67" spans="1:16" x14ac:dyDescent="0.2">
      <c r="A67" s="596"/>
      <c r="B67" s="596"/>
      <c r="C67" s="596"/>
      <c r="D67" s="596"/>
      <c r="E67" s="590"/>
      <c r="F67" s="597"/>
      <c r="G67" s="533"/>
      <c r="H67" s="533"/>
      <c r="I67" s="545"/>
      <c r="J67" s="533"/>
      <c r="K67" s="533"/>
      <c r="L67" s="545"/>
      <c r="M67" s="545"/>
      <c r="O67" s="533"/>
      <c r="P67" s="533"/>
    </row>
    <row r="68" spans="1:16" x14ac:dyDescent="0.2">
      <c r="A68" s="596"/>
      <c r="B68" s="596"/>
      <c r="C68" s="596"/>
      <c r="D68" s="596"/>
      <c r="E68" s="590"/>
      <c r="F68" s="597"/>
      <c r="G68" s="533"/>
      <c r="H68" s="533"/>
      <c r="I68" s="545"/>
      <c r="J68" s="533"/>
      <c r="K68" s="533"/>
      <c r="L68" s="545"/>
      <c r="M68" s="545"/>
      <c r="O68" s="533"/>
      <c r="P68" s="533"/>
    </row>
    <row r="69" spans="1:16" x14ac:dyDescent="0.2">
      <c r="A69" s="596"/>
      <c r="B69" s="596"/>
      <c r="C69" s="596"/>
      <c r="D69" s="596"/>
      <c r="E69" s="590"/>
      <c r="F69" s="597"/>
      <c r="G69" s="533"/>
      <c r="H69" s="533"/>
      <c r="I69" s="545"/>
      <c r="J69" s="533"/>
      <c r="K69" s="533"/>
      <c r="L69" s="545"/>
      <c r="M69" s="545"/>
      <c r="O69" s="533"/>
      <c r="P69" s="533"/>
    </row>
    <row r="70" spans="1:16" x14ac:dyDescent="0.2">
      <c r="A70" s="596"/>
      <c r="B70" s="596"/>
      <c r="C70" s="596"/>
      <c r="D70" s="596"/>
      <c r="E70" s="590"/>
      <c r="F70" s="597"/>
      <c r="G70" s="533"/>
      <c r="H70" s="533"/>
      <c r="I70" s="545"/>
      <c r="J70" s="533"/>
      <c r="K70" s="533"/>
      <c r="L70" s="545"/>
      <c r="M70" s="545"/>
      <c r="O70" s="533"/>
      <c r="P70" s="533"/>
    </row>
    <row r="71" spans="1:16" x14ac:dyDescent="0.2">
      <c r="A71" s="596"/>
      <c r="B71" s="596"/>
      <c r="C71" s="596"/>
      <c r="D71" s="596"/>
      <c r="E71" s="590"/>
      <c r="F71" s="597"/>
      <c r="G71" s="533"/>
      <c r="H71" s="533"/>
      <c r="I71" s="545"/>
      <c r="J71" s="533"/>
      <c r="K71" s="533"/>
      <c r="L71" s="545"/>
      <c r="O71" s="533"/>
      <c r="P71" s="533"/>
    </row>
    <row r="72" spans="1:16" x14ac:dyDescent="0.2">
      <c r="A72" s="596"/>
      <c r="B72" s="596"/>
      <c r="C72" s="596"/>
      <c r="D72" s="596"/>
      <c r="E72" s="590"/>
      <c r="F72" s="597"/>
      <c r="G72" s="533"/>
      <c r="H72" s="533"/>
      <c r="I72" s="545"/>
      <c r="J72" s="533"/>
      <c r="K72" s="533"/>
      <c r="L72" s="545"/>
      <c r="O72" s="533"/>
      <c r="P72" s="533"/>
    </row>
    <row r="73" spans="1:16" x14ac:dyDescent="0.2">
      <c r="A73" s="596"/>
      <c r="B73" s="596"/>
      <c r="C73" s="596"/>
      <c r="D73" s="596"/>
      <c r="E73" s="590"/>
      <c r="F73" s="597"/>
      <c r="G73" s="533"/>
      <c r="H73" s="533"/>
      <c r="I73" s="545"/>
      <c r="J73" s="533"/>
      <c r="K73" s="533"/>
      <c r="L73" s="533"/>
      <c r="O73" s="533"/>
      <c r="P73" s="533"/>
    </row>
    <row r="74" spans="1:16" x14ac:dyDescent="0.2">
      <c r="A74" s="596"/>
      <c r="B74" s="596"/>
      <c r="C74" s="596"/>
      <c r="D74" s="596"/>
      <c r="E74" s="590"/>
      <c r="F74" s="597"/>
      <c r="G74" s="533"/>
      <c r="H74" s="533"/>
      <c r="I74" s="545"/>
      <c r="J74" s="533"/>
      <c r="K74" s="533"/>
      <c r="L74" s="533"/>
      <c r="O74" s="533"/>
      <c r="P74" s="533"/>
    </row>
    <row r="75" spans="1:16" x14ac:dyDescent="0.2">
      <c r="A75" s="596"/>
      <c r="B75" s="596"/>
      <c r="C75" s="596"/>
      <c r="D75" s="596"/>
      <c r="E75" s="590"/>
      <c r="F75" s="597"/>
      <c r="G75" s="533"/>
      <c r="H75" s="533"/>
      <c r="I75" s="545"/>
      <c r="J75" s="533"/>
      <c r="K75" s="533"/>
      <c r="L75" s="533"/>
      <c r="O75" s="533"/>
      <c r="P75" s="533"/>
    </row>
    <row r="76" spans="1:16" x14ac:dyDescent="0.2">
      <c r="A76" s="596"/>
      <c r="B76" s="596"/>
      <c r="C76" s="596"/>
      <c r="D76" s="596"/>
      <c r="E76" s="590"/>
      <c r="F76" s="597"/>
      <c r="G76" s="533"/>
      <c r="H76" s="533"/>
      <c r="I76" s="545"/>
      <c r="J76" s="533"/>
      <c r="K76" s="533"/>
      <c r="L76" s="533"/>
      <c r="O76" s="533"/>
      <c r="P76" s="533"/>
    </row>
    <row r="77" spans="1:16" x14ac:dyDescent="0.2">
      <c r="A77" s="596"/>
      <c r="B77" s="596"/>
      <c r="C77" s="596"/>
      <c r="D77" s="596"/>
      <c r="E77" s="590"/>
      <c r="F77" s="597"/>
      <c r="G77" s="533"/>
      <c r="H77" s="533"/>
      <c r="I77" s="545"/>
      <c r="J77" s="533"/>
      <c r="K77" s="533"/>
      <c r="L77" s="533"/>
      <c r="O77" s="533"/>
      <c r="P77" s="533"/>
    </row>
    <row r="78" spans="1:16" x14ac:dyDescent="0.2">
      <c r="A78" s="596"/>
      <c r="B78" s="596"/>
      <c r="C78" s="596"/>
      <c r="D78" s="596"/>
      <c r="E78" s="590"/>
      <c r="F78" s="597"/>
      <c r="G78" s="533"/>
      <c r="H78" s="533"/>
      <c r="I78" s="545"/>
      <c r="J78" s="533"/>
      <c r="K78" s="533"/>
      <c r="L78" s="533"/>
      <c r="O78" s="533"/>
      <c r="P78" s="533"/>
    </row>
    <row r="79" spans="1:16" x14ac:dyDescent="0.2">
      <c r="A79" s="596"/>
      <c r="B79" s="596"/>
      <c r="C79" s="596"/>
      <c r="D79" s="596"/>
      <c r="E79" s="590"/>
      <c r="F79" s="597"/>
      <c r="G79" s="533"/>
      <c r="H79" s="533"/>
      <c r="I79" s="545"/>
      <c r="J79" s="533"/>
      <c r="K79" s="533"/>
      <c r="L79" s="533"/>
      <c r="O79" s="533"/>
      <c r="P79" s="533"/>
    </row>
    <row r="80" spans="1:16" x14ac:dyDescent="0.2">
      <c r="A80" s="596"/>
      <c r="B80" s="596"/>
      <c r="C80" s="596"/>
      <c r="D80" s="596"/>
      <c r="E80" s="590"/>
      <c r="F80" s="597"/>
      <c r="G80" s="533"/>
      <c r="H80" s="533"/>
      <c r="I80" s="545"/>
      <c r="J80" s="533"/>
      <c r="K80" s="533"/>
      <c r="L80" s="533"/>
      <c r="O80" s="533"/>
      <c r="P80" s="533"/>
    </row>
    <row r="81" spans="1:17" x14ac:dyDescent="0.2">
      <c r="A81" s="596"/>
      <c r="B81" s="596"/>
      <c r="C81" s="596"/>
      <c r="D81" s="596"/>
      <c r="E81" s="590"/>
      <c r="F81" s="597"/>
      <c r="G81" s="533"/>
      <c r="H81" s="533"/>
      <c r="I81" s="545"/>
      <c r="J81" s="533"/>
      <c r="K81" s="533"/>
      <c r="L81" s="533"/>
      <c r="O81" s="533"/>
      <c r="P81" s="533"/>
    </row>
    <row r="82" spans="1:17" x14ac:dyDescent="0.2">
      <c r="A82" s="596"/>
      <c r="B82" s="596"/>
      <c r="C82" s="596"/>
      <c r="D82" s="596"/>
      <c r="E82" s="590"/>
      <c r="F82" s="597"/>
      <c r="G82" s="533"/>
      <c r="H82" s="533"/>
      <c r="I82" s="545"/>
      <c r="J82" s="533"/>
      <c r="K82" s="533"/>
      <c r="L82" s="533"/>
      <c r="O82" s="533"/>
      <c r="P82" s="533"/>
    </row>
    <row r="83" spans="1:17" x14ac:dyDescent="0.2">
      <c r="A83" s="596"/>
      <c r="B83" s="596"/>
      <c r="C83" s="596"/>
      <c r="D83" s="596"/>
      <c r="E83" s="590"/>
      <c r="F83" s="597"/>
      <c r="G83" s="533"/>
      <c r="H83" s="533"/>
      <c r="I83" s="545"/>
      <c r="J83" s="533"/>
      <c r="K83" s="533"/>
      <c r="L83" s="533"/>
      <c r="O83" s="533"/>
      <c r="P83" s="533"/>
    </row>
    <row r="84" spans="1:17" x14ac:dyDescent="0.2">
      <c r="A84" s="596"/>
      <c r="B84" s="596"/>
      <c r="C84" s="596"/>
      <c r="D84" s="596"/>
      <c r="E84" s="590"/>
      <c r="F84" s="597"/>
      <c r="G84" s="593"/>
      <c r="H84" s="533"/>
      <c r="I84" s="545"/>
      <c r="J84" s="533"/>
      <c r="K84" s="533"/>
      <c r="L84" s="533"/>
      <c r="O84" s="533"/>
      <c r="P84" s="533"/>
    </row>
    <row r="85" spans="1:17" x14ac:dyDescent="0.2">
      <c r="A85" s="596"/>
      <c r="B85" s="596"/>
      <c r="C85" s="596"/>
      <c r="D85" s="596"/>
      <c r="E85" s="590"/>
      <c r="F85" s="597"/>
      <c r="G85" s="593"/>
      <c r="H85" s="533"/>
      <c r="I85" s="545"/>
      <c r="J85" s="533"/>
      <c r="K85" s="533"/>
      <c r="L85" s="533"/>
      <c r="O85" s="533"/>
      <c r="P85" s="533"/>
    </row>
    <row r="86" spans="1:17" x14ac:dyDescent="0.2">
      <c r="A86" s="596"/>
      <c r="B86" s="596"/>
      <c r="C86" s="596"/>
      <c r="D86" s="596"/>
      <c r="E86" s="590"/>
      <c r="F86" s="597"/>
      <c r="G86" s="593"/>
      <c r="H86" s="533"/>
      <c r="I86" s="545"/>
      <c r="J86" s="533"/>
      <c r="K86" s="533"/>
      <c r="L86" s="533"/>
      <c r="O86" s="533"/>
      <c r="P86" s="533"/>
    </row>
    <row r="87" spans="1:17" x14ac:dyDescent="0.2">
      <c r="A87" s="596"/>
      <c r="B87" s="596"/>
      <c r="C87" s="596"/>
      <c r="D87" s="596"/>
      <c r="E87" s="590"/>
      <c r="F87" s="597"/>
      <c r="G87" s="593"/>
      <c r="H87" s="533"/>
      <c r="I87" s="545"/>
      <c r="J87" s="533"/>
      <c r="K87" s="533"/>
      <c r="L87" s="533"/>
      <c r="O87" s="533"/>
      <c r="P87" s="533"/>
    </row>
    <row r="88" spans="1:17" x14ac:dyDescent="0.2">
      <c r="A88" s="596"/>
      <c r="B88" s="596"/>
      <c r="C88" s="596"/>
      <c r="D88" s="596"/>
      <c r="E88" s="590"/>
      <c r="F88" s="597"/>
      <c r="G88" s="533"/>
      <c r="H88" s="533"/>
      <c r="I88" s="545"/>
      <c r="J88" s="533"/>
      <c r="K88" s="533"/>
      <c r="L88" s="533"/>
      <c r="O88" s="533"/>
      <c r="P88" s="533"/>
    </row>
    <row r="89" spans="1:17" x14ac:dyDescent="0.2">
      <c r="A89" s="596"/>
      <c r="B89" s="596"/>
      <c r="C89" s="596"/>
      <c r="D89" s="596"/>
      <c r="E89" s="590"/>
      <c r="F89" s="597"/>
      <c r="G89" s="533"/>
      <c r="H89" s="533"/>
      <c r="I89" s="545"/>
      <c r="J89" s="533"/>
      <c r="K89" s="533"/>
      <c r="L89" s="533"/>
      <c r="O89" s="533"/>
      <c r="P89" s="533"/>
    </row>
    <row r="90" spans="1:17" s="596" customFormat="1" x14ac:dyDescent="0.2">
      <c r="E90" s="590"/>
      <c r="F90" s="597"/>
      <c r="G90" s="533"/>
      <c r="H90" s="533"/>
      <c r="I90" s="545"/>
      <c r="J90" s="533"/>
      <c r="K90" s="533"/>
      <c r="L90" s="533"/>
      <c r="M90" s="533"/>
      <c r="N90" s="533"/>
      <c r="O90" s="533"/>
      <c r="P90" s="533"/>
      <c r="Q90" s="533"/>
    </row>
    <row r="91" spans="1:17" s="596" customFormat="1" x14ac:dyDescent="0.2">
      <c r="E91" s="590"/>
      <c r="F91" s="597"/>
      <c r="G91" s="533"/>
      <c r="H91" s="533"/>
      <c r="I91" s="545"/>
      <c r="J91" s="533"/>
      <c r="K91" s="533"/>
      <c r="L91" s="533"/>
      <c r="M91" s="533"/>
      <c r="N91" s="533"/>
      <c r="O91" s="533"/>
      <c r="P91" s="533"/>
      <c r="Q91" s="533"/>
    </row>
    <row r="92" spans="1:17" s="596" customFormat="1" x14ac:dyDescent="0.2">
      <c r="E92" s="590"/>
      <c r="F92" s="597"/>
      <c r="G92" s="533"/>
      <c r="H92" s="533"/>
      <c r="I92" s="545"/>
      <c r="J92" s="533"/>
      <c r="K92" s="533"/>
      <c r="L92" s="533"/>
      <c r="M92" s="533"/>
      <c r="N92" s="533"/>
      <c r="O92" s="533"/>
      <c r="P92" s="533"/>
      <c r="Q92" s="533"/>
    </row>
    <row r="93" spans="1:17" s="596" customFormat="1" x14ac:dyDescent="0.2">
      <c r="E93" s="590"/>
      <c r="F93" s="597"/>
      <c r="G93" s="533"/>
      <c r="H93" s="533"/>
      <c r="I93" s="545"/>
      <c r="J93" s="533"/>
      <c r="K93" s="533"/>
      <c r="L93" s="533"/>
      <c r="M93" s="533"/>
      <c r="N93" s="533"/>
      <c r="O93" s="533"/>
      <c r="P93" s="533"/>
      <c r="Q93" s="533"/>
    </row>
    <row r="94" spans="1:17" s="596" customFormat="1" x14ac:dyDescent="0.2">
      <c r="E94" s="590"/>
      <c r="F94" s="597"/>
      <c r="G94" s="533"/>
      <c r="H94" s="533"/>
      <c r="I94" s="545"/>
      <c r="J94" s="533"/>
      <c r="K94" s="533"/>
      <c r="L94" s="533"/>
      <c r="M94" s="533"/>
      <c r="N94" s="533"/>
      <c r="O94" s="533"/>
      <c r="P94" s="533"/>
      <c r="Q94" s="533"/>
    </row>
    <row r="95" spans="1:17" s="596" customFormat="1" x14ac:dyDescent="0.2">
      <c r="E95" s="590"/>
      <c r="F95" s="597"/>
      <c r="G95" s="533"/>
      <c r="H95" s="533"/>
      <c r="I95" s="545"/>
      <c r="J95" s="533"/>
      <c r="K95" s="533"/>
      <c r="L95" s="533"/>
      <c r="M95" s="533"/>
    </row>
    <row r="96" spans="1:17" s="596" customFormat="1" x14ac:dyDescent="0.2">
      <c r="E96" s="590"/>
      <c r="F96" s="597"/>
      <c r="G96" s="533"/>
      <c r="H96" s="533"/>
      <c r="I96" s="545"/>
      <c r="J96" s="533"/>
      <c r="K96" s="533"/>
      <c r="L96" s="533"/>
      <c r="M96" s="533"/>
    </row>
    <row r="97" spans="5:13" s="596" customFormat="1" x14ac:dyDescent="0.2">
      <c r="E97" s="590"/>
      <c r="F97" s="597"/>
      <c r="G97" s="533"/>
      <c r="H97" s="533"/>
      <c r="I97" s="545"/>
      <c r="J97" s="533"/>
      <c r="K97" s="533"/>
      <c r="L97" s="533"/>
      <c r="M97" s="533"/>
    </row>
    <row r="98" spans="5:13" s="596" customFormat="1" x14ac:dyDescent="0.2">
      <c r="E98" s="590"/>
      <c r="F98" s="597"/>
      <c r="G98" s="533"/>
      <c r="H98" s="533"/>
      <c r="I98" s="545"/>
      <c r="J98" s="533"/>
      <c r="K98" s="533"/>
      <c r="L98" s="533"/>
      <c r="M98" s="533"/>
    </row>
    <row r="99" spans="5:13" s="596" customFormat="1" x14ac:dyDescent="0.2">
      <c r="E99" s="590"/>
      <c r="F99" s="597"/>
      <c r="G99" s="533"/>
      <c r="H99" s="533"/>
      <c r="I99" s="545"/>
      <c r="J99" s="533"/>
      <c r="K99" s="533"/>
      <c r="L99" s="533"/>
      <c r="M99" s="533"/>
    </row>
    <row r="100" spans="5:13" s="596" customFormat="1" x14ac:dyDescent="0.2">
      <c r="E100" s="590"/>
      <c r="F100" s="597"/>
      <c r="G100" s="533"/>
      <c r="H100" s="533"/>
      <c r="I100" s="545"/>
      <c r="J100" s="533"/>
      <c r="K100" s="533"/>
      <c r="L100" s="533"/>
      <c r="M100" s="533"/>
    </row>
    <row r="101" spans="5:13" s="596" customFormat="1" x14ac:dyDescent="0.2">
      <c r="E101" s="590"/>
      <c r="F101" s="597"/>
      <c r="G101" s="533"/>
      <c r="H101" s="533"/>
      <c r="I101" s="545"/>
      <c r="J101" s="533"/>
      <c r="K101" s="533"/>
      <c r="L101" s="533"/>
      <c r="M101" s="533"/>
    </row>
    <row r="102" spans="5:13" s="596" customFormat="1" x14ac:dyDescent="0.2">
      <c r="E102" s="590"/>
      <c r="F102" s="597"/>
      <c r="G102" s="533"/>
      <c r="H102" s="533"/>
      <c r="I102" s="545"/>
      <c r="J102" s="533"/>
      <c r="K102" s="533"/>
      <c r="L102" s="533"/>
      <c r="M102" s="533"/>
    </row>
    <row r="103" spans="5:13" s="596" customFormat="1" x14ac:dyDescent="0.2">
      <c r="E103" s="590"/>
      <c r="F103" s="597"/>
      <c r="G103" s="533"/>
      <c r="H103" s="533"/>
      <c r="I103" s="545"/>
      <c r="J103" s="533"/>
      <c r="K103" s="533"/>
      <c r="L103" s="533"/>
      <c r="M103" s="533"/>
    </row>
    <row r="104" spans="5:13" s="596" customFormat="1" x14ac:dyDescent="0.2">
      <c r="E104" s="590"/>
      <c r="F104" s="597"/>
      <c r="G104" s="533"/>
      <c r="H104" s="533"/>
      <c r="I104" s="545"/>
      <c r="J104" s="533"/>
      <c r="K104" s="533"/>
      <c r="L104" s="533"/>
      <c r="M104" s="533"/>
    </row>
    <row r="105" spans="5:13" s="596" customFormat="1" x14ac:dyDescent="0.2">
      <c r="E105" s="590"/>
      <c r="F105" s="597"/>
      <c r="G105" s="533"/>
      <c r="H105" s="533"/>
      <c r="I105" s="545"/>
      <c r="J105" s="533"/>
      <c r="K105" s="533"/>
      <c r="L105" s="533"/>
      <c r="M105" s="533"/>
    </row>
    <row r="106" spans="5:13" s="596" customFormat="1" x14ac:dyDescent="0.2">
      <c r="E106" s="590"/>
      <c r="F106" s="597"/>
      <c r="G106" s="533"/>
      <c r="H106" s="533"/>
      <c r="I106" s="545"/>
      <c r="J106" s="533"/>
      <c r="K106" s="533"/>
      <c r="L106" s="533"/>
      <c r="M106" s="533"/>
    </row>
    <row r="107" spans="5:13" s="596" customFormat="1" x14ac:dyDescent="0.2">
      <c r="E107" s="590"/>
      <c r="F107" s="597"/>
      <c r="G107" s="533"/>
      <c r="H107" s="533"/>
      <c r="I107" s="545"/>
      <c r="J107" s="533"/>
      <c r="K107" s="533"/>
      <c r="L107" s="533"/>
      <c r="M107" s="533"/>
    </row>
    <row r="108" spans="5:13" s="596" customFormat="1" x14ac:dyDescent="0.2">
      <c r="E108" s="590"/>
      <c r="F108" s="597"/>
      <c r="G108" s="533"/>
      <c r="H108" s="533"/>
      <c r="I108" s="545"/>
      <c r="J108" s="533"/>
      <c r="K108" s="533"/>
      <c r="L108" s="533"/>
      <c r="M108" s="533"/>
    </row>
    <row r="109" spans="5:13" s="596" customFormat="1" x14ac:dyDescent="0.2">
      <c r="E109" s="590"/>
      <c r="F109" s="597"/>
      <c r="G109" s="533"/>
      <c r="H109" s="533"/>
      <c r="I109" s="545"/>
      <c r="J109" s="533"/>
      <c r="K109" s="533"/>
      <c r="L109" s="533"/>
      <c r="M109" s="533"/>
    </row>
    <row r="110" spans="5:13" s="596" customFormat="1" x14ac:dyDescent="0.2">
      <c r="E110" s="590"/>
      <c r="F110" s="597"/>
      <c r="G110" s="533"/>
      <c r="H110" s="533"/>
      <c r="I110" s="545"/>
      <c r="J110" s="533"/>
      <c r="K110" s="533"/>
      <c r="L110" s="533"/>
    </row>
    <row r="111" spans="5:13" s="596" customFormat="1" x14ac:dyDescent="0.2">
      <c r="E111" s="590"/>
      <c r="F111" s="597"/>
      <c r="G111" s="533"/>
      <c r="H111" s="533"/>
      <c r="I111" s="545"/>
      <c r="J111" s="533"/>
      <c r="K111" s="533"/>
      <c r="L111" s="533"/>
    </row>
    <row r="112" spans="5:13" s="596" customFormat="1" x14ac:dyDescent="0.2">
      <c r="E112" s="590"/>
      <c r="F112" s="597"/>
      <c r="G112" s="533"/>
      <c r="H112" s="533"/>
      <c r="I112" s="545"/>
      <c r="J112" s="533"/>
      <c r="K112" s="533"/>
      <c r="L112" s="533"/>
    </row>
    <row r="113" spans="5:12" s="596" customFormat="1" x14ac:dyDescent="0.2">
      <c r="E113" s="590"/>
      <c r="F113" s="597"/>
      <c r="G113" s="533"/>
      <c r="H113" s="533"/>
      <c r="I113" s="545"/>
      <c r="J113" s="533"/>
      <c r="K113" s="533"/>
      <c r="L113" s="533"/>
    </row>
    <row r="114" spans="5:12" s="596" customFormat="1" x14ac:dyDescent="0.2">
      <c r="E114" s="590"/>
      <c r="F114" s="597"/>
      <c r="G114" s="533"/>
      <c r="H114" s="533"/>
      <c r="I114" s="545"/>
      <c r="J114" s="533"/>
      <c r="K114" s="533"/>
      <c r="L114" s="533"/>
    </row>
    <row r="115" spans="5:12" s="596" customFormat="1" x14ac:dyDescent="0.2">
      <c r="E115" s="590"/>
      <c r="F115" s="597"/>
      <c r="G115" s="533"/>
      <c r="H115" s="533"/>
      <c r="I115" s="545"/>
      <c r="J115" s="533"/>
      <c r="K115" s="533"/>
      <c r="L115" s="533"/>
    </row>
    <row r="116" spans="5:12" s="596" customFormat="1" x14ac:dyDescent="0.2">
      <c r="E116" s="590"/>
      <c r="F116" s="597"/>
      <c r="G116" s="533"/>
      <c r="H116" s="533"/>
      <c r="I116" s="545"/>
      <c r="J116" s="533"/>
      <c r="K116" s="533"/>
      <c r="L116" s="533"/>
    </row>
    <row r="117" spans="5:12" s="596" customFormat="1" x14ac:dyDescent="0.2">
      <c r="E117" s="590"/>
      <c r="F117" s="597"/>
      <c r="G117" s="533"/>
      <c r="H117" s="533"/>
      <c r="I117" s="545"/>
      <c r="J117" s="533"/>
      <c r="K117" s="533"/>
      <c r="L117" s="533"/>
    </row>
    <row r="118" spans="5:12" s="596" customFormat="1" x14ac:dyDescent="0.2">
      <c r="E118" s="590"/>
      <c r="F118" s="597"/>
      <c r="G118" s="533"/>
      <c r="H118" s="533"/>
      <c r="I118" s="545"/>
      <c r="J118" s="533"/>
      <c r="K118" s="533"/>
      <c r="L118" s="533"/>
    </row>
    <row r="119" spans="5:12" s="596" customFormat="1" x14ac:dyDescent="0.2">
      <c r="E119" s="590"/>
      <c r="F119" s="597"/>
      <c r="G119" s="533"/>
      <c r="H119" s="533"/>
      <c r="I119" s="545"/>
      <c r="J119" s="533"/>
      <c r="K119" s="533"/>
      <c r="L119" s="533"/>
    </row>
    <row r="120" spans="5:12" s="596" customFormat="1" x14ac:dyDescent="0.2">
      <c r="E120" s="590"/>
      <c r="F120" s="597"/>
      <c r="G120" s="533"/>
      <c r="H120" s="533"/>
      <c r="I120" s="545"/>
      <c r="J120" s="533"/>
      <c r="K120" s="533"/>
      <c r="L120" s="533"/>
    </row>
    <row r="121" spans="5:12" s="596" customFormat="1" x14ac:dyDescent="0.2">
      <c r="E121" s="590"/>
      <c r="F121" s="597"/>
      <c r="G121" s="533"/>
      <c r="H121" s="533"/>
      <c r="I121" s="545"/>
      <c r="J121" s="533"/>
      <c r="K121" s="533"/>
      <c r="L121" s="533"/>
    </row>
    <row r="122" spans="5:12" s="596" customFormat="1" x14ac:dyDescent="0.2">
      <c r="E122" s="590"/>
      <c r="F122" s="597"/>
      <c r="G122" s="533"/>
      <c r="H122" s="533"/>
      <c r="I122" s="545"/>
      <c r="J122" s="533"/>
      <c r="K122" s="533"/>
      <c r="L122" s="533"/>
    </row>
    <row r="123" spans="5:12" s="596" customFormat="1" x14ac:dyDescent="0.2">
      <c r="E123" s="590"/>
      <c r="F123" s="597"/>
      <c r="G123" s="533"/>
      <c r="H123" s="533"/>
      <c r="I123" s="545"/>
      <c r="J123" s="533"/>
      <c r="K123" s="533"/>
      <c r="L123" s="533"/>
    </row>
    <row r="124" spans="5:12" s="596" customFormat="1" x14ac:dyDescent="0.2">
      <c r="E124" s="590"/>
      <c r="F124" s="597"/>
      <c r="G124" s="533"/>
      <c r="H124" s="533"/>
      <c r="I124" s="545"/>
      <c r="J124" s="533"/>
      <c r="K124" s="533"/>
      <c r="L124" s="533"/>
    </row>
    <row r="125" spans="5:12" s="596" customFormat="1" x14ac:dyDescent="0.2">
      <c r="E125" s="590"/>
      <c r="F125" s="597"/>
      <c r="G125" s="533"/>
      <c r="H125" s="533"/>
      <c r="I125" s="545"/>
      <c r="J125" s="533"/>
      <c r="K125" s="533"/>
      <c r="L125" s="533"/>
    </row>
    <row r="126" spans="5:12" s="596" customFormat="1" x14ac:dyDescent="0.2">
      <c r="E126" s="590"/>
      <c r="F126" s="597"/>
      <c r="G126" s="533"/>
      <c r="H126" s="533"/>
      <c r="I126" s="545"/>
      <c r="J126" s="533"/>
      <c r="K126" s="533"/>
      <c r="L126" s="533"/>
    </row>
    <row r="127" spans="5:12" s="596" customFormat="1" x14ac:dyDescent="0.2">
      <c r="E127" s="590"/>
      <c r="F127" s="597"/>
      <c r="G127" s="533"/>
      <c r="H127" s="533"/>
      <c r="I127" s="545"/>
      <c r="J127" s="533"/>
      <c r="K127" s="533"/>
      <c r="L127" s="533"/>
    </row>
    <row r="128" spans="5:12" s="596" customFormat="1" x14ac:dyDescent="0.2">
      <c r="E128" s="590"/>
      <c r="F128" s="597"/>
      <c r="G128" s="533"/>
      <c r="H128" s="533"/>
      <c r="I128" s="545"/>
      <c r="J128" s="533"/>
      <c r="K128" s="533"/>
      <c r="L128" s="533"/>
    </row>
    <row r="129" spans="5:12" s="596" customFormat="1" x14ac:dyDescent="0.2">
      <c r="E129" s="590"/>
      <c r="F129" s="597"/>
      <c r="G129" s="533"/>
      <c r="H129" s="533"/>
      <c r="I129" s="545"/>
      <c r="J129" s="533"/>
      <c r="K129" s="533"/>
      <c r="L129" s="533"/>
    </row>
    <row r="130" spans="5:12" s="596" customFormat="1" x14ac:dyDescent="0.2">
      <c r="E130" s="590"/>
      <c r="F130" s="597"/>
      <c r="G130" s="533"/>
      <c r="H130" s="533"/>
      <c r="I130" s="545"/>
      <c r="J130" s="533"/>
      <c r="K130" s="533"/>
      <c r="L130" s="533"/>
    </row>
    <row r="131" spans="5:12" s="596" customFormat="1" x14ac:dyDescent="0.2">
      <c r="E131" s="590"/>
      <c r="F131" s="597"/>
      <c r="G131" s="533"/>
      <c r="H131" s="533"/>
      <c r="I131" s="545"/>
      <c r="J131" s="533"/>
      <c r="K131" s="533"/>
      <c r="L131" s="533"/>
    </row>
    <row r="132" spans="5:12" s="596" customFormat="1" x14ac:dyDescent="0.2">
      <c r="E132" s="590"/>
      <c r="F132" s="597"/>
      <c r="G132" s="533"/>
      <c r="H132" s="533"/>
      <c r="I132" s="545"/>
      <c r="J132" s="533"/>
      <c r="K132" s="533"/>
      <c r="L132" s="533"/>
    </row>
    <row r="133" spans="5:12" s="596" customFormat="1" x14ac:dyDescent="0.2">
      <c r="E133" s="590"/>
      <c r="F133" s="597"/>
      <c r="G133" s="533"/>
      <c r="H133" s="533"/>
      <c r="I133" s="545"/>
      <c r="J133" s="533"/>
      <c r="K133" s="533"/>
      <c r="L133" s="533"/>
    </row>
    <row r="134" spans="5:12" s="596" customFormat="1" x14ac:dyDescent="0.2">
      <c r="E134" s="590"/>
      <c r="F134" s="597"/>
      <c r="G134" s="533"/>
      <c r="H134" s="533"/>
      <c r="I134" s="545"/>
      <c r="J134" s="533"/>
      <c r="K134" s="533"/>
      <c r="L134" s="533"/>
    </row>
    <row r="135" spans="5:12" s="596" customFormat="1" x14ac:dyDescent="0.2">
      <c r="E135" s="590"/>
      <c r="F135" s="597"/>
      <c r="G135" s="533"/>
      <c r="H135" s="533"/>
      <c r="I135" s="545"/>
      <c r="J135" s="533"/>
      <c r="K135" s="533"/>
      <c r="L135" s="533"/>
    </row>
    <row r="136" spans="5:12" s="596" customFormat="1" x14ac:dyDescent="0.2">
      <c r="E136" s="590"/>
      <c r="F136" s="597"/>
      <c r="G136" s="533"/>
      <c r="H136" s="533"/>
      <c r="I136" s="545"/>
      <c r="J136" s="533"/>
      <c r="K136" s="533"/>
      <c r="L136" s="533"/>
    </row>
    <row r="137" spans="5:12" s="596" customFormat="1" x14ac:dyDescent="0.2">
      <c r="E137" s="590"/>
      <c r="F137" s="597"/>
      <c r="G137" s="533"/>
      <c r="H137" s="533"/>
      <c r="I137" s="545"/>
      <c r="J137" s="533"/>
      <c r="K137" s="533"/>
      <c r="L137" s="533"/>
    </row>
    <row r="138" spans="5:12" s="596" customFormat="1" x14ac:dyDescent="0.2">
      <c r="E138" s="590"/>
      <c r="F138" s="597"/>
      <c r="G138" s="533"/>
      <c r="H138" s="533"/>
      <c r="I138" s="545"/>
      <c r="J138" s="533"/>
      <c r="K138" s="533"/>
      <c r="L138" s="533"/>
    </row>
    <row r="139" spans="5:12" s="596" customFormat="1" x14ac:dyDescent="0.2">
      <c r="E139" s="590"/>
      <c r="F139" s="597"/>
      <c r="G139" s="533"/>
      <c r="H139" s="533"/>
      <c r="I139" s="545"/>
      <c r="J139" s="533"/>
      <c r="K139" s="533"/>
      <c r="L139" s="533"/>
    </row>
    <row r="140" spans="5:12" s="596" customFormat="1" x14ac:dyDescent="0.2">
      <c r="E140" s="590"/>
      <c r="F140" s="597"/>
      <c r="G140" s="533"/>
      <c r="H140" s="533"/>
      <c r="I140" s="545"/>
      <c r="J140" s="533"/>
      <c r="K140" s="533"/>
      <c r="L140" s="533"/>
    </row>
    <row r="141" spans="5:12" s="596" customFormat="1" x14ac:dyDescent="0.2">
      <c r="E141" s="590"/>
      <c r="F141" s="597"/>
      <c r="G141" s="533"/>
      <c r="H141" s="533"/>
      <c r="I141" s="545"/>
      <c r="J141" s="533"/>
      <c r="K141" s="533"/>
      <c r="L141" s="533"/>
    </row>
    <row r="142" spans="5:12" s="596" customFormat="1" x14ac:dyDescent="0.2">
      <c r="E142" s="590"/>
      <c r="F142" s="597"/>
      <c r="G142" s="533"/>
      <c r="H142" s="533"/>
      <c r="I142" s="545"/>
      <c r="J142" s="533"/>
      <c r="K142" s="533"/>
      <c r="L142" s="533"/>
    </row>
    <row r="143" spans="5:12" s="596" customFormat="1" x14ac:dyDescent="0.2">
      <c r="E143" s="590"/>
      <c r="F143" s="597"/>
      <c r="G143" s="533"/>
      <c r="H143" s="533"/>
      <c r="I143" s="545"/>
      <c r="J143" s="533"/>
      <c r="K143" s="533"/>
      <c r="L143" s="533"/>
    </row>
    <row r="144" spans="5:12" s="596" customFormat="1" x14ac:dyDescent="0.2">
      <c r="E144" s="590"/>
      <c r="F144" s="597"/>
      <c r="G144" s="533"/>
      <c r="H144" s="533"/>
      <c r="I144" s="545"/>
      <c r="J144" s="533"/>
      <c r="K144" s="533"/>
      <c r="L144" s="533"/>
    </row>
    <row r="145" spans="1:17" s="596" customFormat="1" x14ac:dyDescent="0.2">
      <c r="E145" s="590"/>
      <c r="F145" s="597"/>
      <c r="G145" s="533"/>
      <c r="H145" s="533"/>
      <c r="I145" s="545"/>
      <c r="J145" s="533"/>
      <c r="K145" s="533"/>
      <c r="L145" s="533"/>
    </row>
    <row r="146" spans="1:17" s="596" customFormat="1" x14ac:dyDescent="0.2">
      <c r="E146" s="590"/>
      <c r="F146" s="597"/>
      <c r="G146" s="533"/>
      <c r="H146" s="533"/>
      <c r="I146" s="545"/>
      <c r="J146" s="533"/>
      <c r="K146" s="533"/>
      <c r="L146" s="533"/>
    </row>
    <row r="147" spans="1:17" x14ac:dyDescent="0.2">
      <c r="A147" s="596"/>
      <c r="B147" s="596"/>
      <c r="C147" s="596"/>
      <c r="D147" s="596"/>
      <c r="E147" s="590"/>
      <c r="F147" s="597"/>
      <c r="G147" s="533"/>
      <c r="H147" s="533"/>
      <c r="I147" s="545"/>
      <c r="J147" s="533"/>
      <c r="K147" s="533"/>
      <c r="L147" s="533"/>
      <c r="M147" s="596"/>
      <c r="N147" s="596"/>
      <c r="O147" s="596"/>
      <c r="P147" s="596"/>
      <c r="Q147" s="596"/>
    </row>
    <row r="148" spans="1:17" x14ac:dyDescent="0.2">
      <c r="A148" s="596"/>
      <c r="B148" s="596"/>
      <c r="C148" s="596"/>
      <c r="D148" s="596"/>
      <c r="E148" s="590"/>
      <c r="F148" s="597"/>
      <c r="G148" s="533"/>
      <c r="H148" s="533"/>
      <c r="I148" s="545"/>
      <c r="J148" s="533"/>
      <c r="K148" s="533"/>
      <c r="L148" s="533"/>
      <c r="M148" s="596"/>
      <c r="N148" s="596"/>
      <c r="O148" s="596"/>
      <c r="P148" s="596"/>
      <c r="Q148" s="596"/>
    </row>
    <row r="149" spans="1:17" x14ac:dyDescent="0.2">
      <c r="A149" s="596"/>
      <c r="B149" s="596"/>
      <c r="C149" s="596"/>
      <c r="D149" s="596"/>
      <c r="E149" s="590"/>
      <c r="F149" s="597"/>
      <c r="G149" s="533"/>
      <c r="H149" s="533"/>
      <c r="I149" s="545"/>
      <c r="J149" s="533"/>
      <c r="K149" s="533"/>
      <c r="L149" s="533"/>
      <c r="M149" s="596"/>
      <c r="N149" s="596"/>
      <c r="O149" s="596"/>
      <c r="P149" s="596"/>
      <c r="Q149" s="596"/>
    </row>
    <row r="150" spans="1:17" x14ac:dyDescent="0.2">
      <c r="A150" s="596"/>
      <c r="B150" s="596"/>
      <c r="C150" s="596"/>
      <c r="D150" s="596"/>
      <c r="E150" s="590"/>
      <c r="F150" s="597"/>
      <c r="G150" s="533"/>
      <c r="H150" s="533"/>
      <c r="I150" s="545"/>
      <c r="J150" s="533"/>
      <c r="K150" s="533"/>
      <c r="L150" s="533"/>
      <c r="M150" s="596"/>
      <c r="N150" s="596"/>
      <c r="O150" s="596"/>
      <c r="P150" s="596"/>
      <c r="Q150" s="596"/>
    </row>
    <row r="151" spans="1:17" x14ac:dyDescent="0.2">
      <c r="A151" s="596"/>
      <c r="B151" s="596"/>
      <c r="C151" s="596"/>
      <c r="D151" s="596"/>
      <c r="E151" s="590"/>
      <c r="F151" s="597"/>
      <c r="G151" s="533"/>
      <c r="H151" s="533"/>
      <c r="I151" s="545"/>
      <c r="J151" s="533"/>
      <c r="K151" s="533"/>
      <c r="L151" s="533"/>
      <c r="M151" s="596"/>
      <c r="N151" s="596"/>
      <c r="O151" s="596"/>
      <c r="P151" s="596"/>
      <c r="Q151" s="596"/>
    </row>
    <row r="152" spans="1:17" x14ac:dyDescent="0.2">
      <c r="A152" s="596"/>
      <c r="B152" s="596"/>
      <c r="C152" s="596"/>
      <c r="D152" s="596"/>
      <c r="E152" s="590"/>
      <c r="F152" s="597"/>
      <c r="G152" s="533"/>
      <c r="H152" s="533"/>
      <c r="I152" s="545"/>
      <c r="J152" s="533"/>
      <c r="K152" s="533"/>
      <c r="L152" s="533"/>
      <c r="M152" s="596"/>
    </row>
    <row r="153" spans="1:17" x14ac:dyDescent="0.2">
      <c r="A153" s="596"/>
      <c r="B153" s="596"/>
      <c r="C153" s="596"/>
      <c r="D153" s="596"/>
      <c r="E153" s="590"/>
      <c r="F153" s="597"/>
      <c r="G153" s="533"/>
      <c r="H153" s="533"/>
      <c r="I153" s="545"/>
      <c r="J153" s="533"/>
      <c r="K153" s="533"/>
      <c r="L153" s="533"/>
      <c r="M153" s="596"/>
    </row>
    <row r="154" spans="1:17" x14ac:dyDescent="0.2">
      <c r="A154" s="596"/>
      <c r="B154" s="596"/>
      <c r="C154" s="596"/>
      <c r="D154" s="596"/>
      <c r="E154" s="590"/>
      <c r="F154" s="597"/>
      <c r="G154" s="533"/>
      <c r="H154" s="533"/>
      <c r="I154" s="545"/>
      <c r="J154" s="533"/>
      <c r="K154" s="533"/>
      <c r="L154" s="533"/>
      <c r="M154" s="596"/>
    </row>
    <row r="155" spans="1:17" x14ac:dyDescent="0.2">
      <c r="A155" s="596"/>
      <c r="B155" s="596"/>
      <c r="C155" s="596"/>
      <c r="D155" s="596"/>
      <c r="E155" s="590"/>
      <c r="F155" s="597"/>
      <c r="G155" s="533"/>
      <c r="H155" s="533"/>
      <c r="I155" s="545"/>
      <c r="J155" s="533"/>
      <c r="K155" s="533"/>
      <c r="L155" s="533"/>
      <c r="M155" s="596"/>
    </row>
    <row r="156" spans="1:17" x14ac:dyDescent="0.2">
      <c r="J156" s="533"/>
      <c r="K156" s="533"/>
      <c r="L156" s="533"/>
      <c r="M156" s="596"/>
    </row>
    <row r="157" spans="1:17" x14ac:dyDescent="0.2">
      <c r="J157" s="533"/>
      <c r="K157" s="533"/>
      <c r="L157" s="533"/>
      <c r="M157" s="596"/>
    </row>
    <row r="158" spans="1:17" x14ac:dyDescent="0.2">
      <c r="J158" s="533"/>
      <c r="K158" s="533"/>
      <c r="L158" s="533"/>
      <c r="M158" s="596"/>
    </row>
    <row r="159" spans="1:17" x14ac:dyDescent="0.2">
      <c r="J159" s="533"/>
      <c r="K159" s="533"/>
      <c r="L159" s="533"/>
      <c r="M159" s="596"/>
    </row>
    <row r="160" spans="1:17" x14ac:dyDescent="0.2">
      <c r="J160" s="533"/>
      <c r="K160" s="533"/>
      <c r="L160" s="533"/>
      <c r="M160" s="596"/>
    </row>
    <row r="161" spans="10:13" x14ac:dyDescent="0.2">
      <c r="J161" s="533"/>
      <c r="K161" s="533"/>
      <c r="L161" s="533"/>
      <c r="M161" s="596"/>
    </row>
    <row r="162" spans="10:13" x14ac:dyDescent="0.2">
      <c r="K162" s="533"/>
      <c r="L162" s="533"/>
      <c r="M162" s="596"/>
    </row>
    <row r="163" spans="10:13" x14ac:dyDescent="0.2">
      <c r="K163" s="533"/>
      <c r="L163" s="533"/>
      <c r="M163" s="596"/>
    </row>
    <row r="164" spans="10:13" x14ac:dyDescent="0.2">
      <c r="K164" s="533"/>
      <c r="L164" s="533"/>
      <c r="M164" s="596"/>
    </row>
    <row r="165" spans="10:13" x14ac:dyDescent="0.2">
      <c r="L165" s="533"/>
      <c r="M165" s="596"/>
    </row>
    <row r="166" spans="10:13" x14ac:dyDescent="0.2">
      <c r="L166" s="533"/>
      <c r="M166" s="596"/>
    </row>
    <row r="167" spans="10:13" x14ac:dyDescent="0.2">
      <c r="L167" s="533"/>
    </row>
    <row r="168" spans="10:13" x14ac:dyDescent="0.2">
      <c r="L168" s="533"/>
    </row>
    <row r="169" spans="10:13" x14ac:dyDescent="0.2">
      <c r="L169" s="533"/>
    </row>
  </sheetData>
  <mergeCells count="1">
    <mergeCell ref="L7:M7"/>
  </mergeCells>
  <dataValidations count="1">
    <dataValidation type="list" allowBlank="1" showInputMessage="1" showErrorMessage="1" sqref="B5" xr:uid="{C237A235-E173-4C5D-834A-83A526C3A7A4}">
      <formula1>$AB$5:$AB$8</formula1>
    </dataValidation>
  </dataValidation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2591-5766-45A2-988B-C9E5E4DEEF8D}">
  <dimension ref="A1:Q168"/>
  <sheetViews>
    <sheetView workbookViewId="0">
      <selection activeCell="H5" sqref="H5"/>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6.33203125" style="596" customWidth="1"/>
    <col min="8" max="8" width="6.88671875" style="599" customWidth="1"/>
    <col min="9" max="9" width="9.6640625" style="596" customWidth="1"/>
    <col min="10" max="10" width="8.6640625" style="596" bestFit="1" customWidth="1"/>
    <col min="11" max="11" width="12.5546875" style="590" customWidth="1"/>
    <col min="12" max="12" width="17.33203125" style="597" bestFit="1" customWidth="1"/>
    <col min="13" max="13" width="12.88671875" style="533" customWidth="1"/>
    <col min="14" max="14" width="11.33203125" style="533" customWidth="1"/>
    <col min="15" max="15" width="14.5546875" style="545" customWidth="1"/>
    <col min="16" max="16" width="2.44140625" style="545" customWidth="1"/>
    <col min="17" max="17" width="14" style="533" bestFit="1" customWidth="1"/>
    <col min="18" max="18" width="5.44140625" style="533" customWidth="1"/>
    <col min="19" max="27" width="5.33203125" style="533" customWidth="1"/>
    <col min="28" max="28" width="17" style="533" customWidth="1"/>
    <col min="29" max="16384" width="7.88671875" style="533"/>
  </cols>
  <sheetData>
    <row r="1" spans="1:14" s="369" customFormat="1" ht="13.2" x14ac:dyDescent="0.25">
      <c r="A1" s="636" t="s">
        <v>104</v>
      </c>
      <c r="B1" s="637" t="s">
        <v>159</v>
      </c>
      <c r="C1" s="363"/>
      <c r="D1" s="637"/>
      <c r="E1" s="364"/>
      <c r="F1" s="364"/>
      <c r="G1" s="365"/>
      <c r="H1" s="366" t="s">
        <v>180</v>
      </c>
      <c r="I1" s="367" t="s">
        <v>54</v>
      </c>
      <c r="J1" s="368"/>
      <c r="K1" s="637"/>
      <c r="L1" s="637"/>
      <c r="M1" s="638"/>
      <c r="N1" s="370"/>
    </row>
    <row r="2" spans="1:14" s="369" customFormat="1" ht="13.2" x14ac:dyDescent="0.25">
      <c r="A2" s="639" t="s">
        <v>106</v>
      </c>
      <c r="B2" s="381" t="s">
        <v>55</v>
      </c>
      <c r="C2" s="373"/>
      <c r="D2" s="381"/>
      <c r="E2" s="374"/>
      <c r="F2" s="374"/>
      <c r="G2" s="375"/>
      <c r="H2" s="376" t="s">
        <v>181</v>
      </c>
      <c r="I2" s="640">
        <f>B52</f>
        <v>447.125</v>
      </c>
      <c r="J2" s="378"/>
      <c r="K2" s="381"/>
      <c r="L2" s="381"/>
      <c r="M2" s="641"/>
      <c r="N2" s="379"/>
    </row>
    <row r="3" spans="1:14" s="383" customFormat="1" ht="11.25" customHeight="1" x14ac:dyDescent="0.25">
      <c r="A3" s="642" t="s">
        <v>108</v>
      </c>
      <c r="B3" s="632">
        <v>45874</v>
      </c>
      <c r="C3" s="373"/>
      <c r="D3" s="374"/>
      <c r="E3" s="374"/>
      <c r="F3" s="374"/>
      <c r="G3" s="375"/>
      <c r="H3" s="380" t="s">
        <v>182</v>
      </c>
      <c r="I3" s="643">
        <f>B52/100</f>
        <v>4.4712500000000004</v>
      </c>
      <c r="J3" s="378"/>
      <c r="K3" s="381"/>
      <c r="L3" s="381"/>
      <c r="M3" s="644"/>
      <c r="N3" s="384"/>
    </row>
    <row r="4" spans="1:14" s="369" customFormat="1" ht="13.2" x14ac:dyDescent="0.25">
      <c r="A4" s="642" t="s">
        <v>110</v>
      </c>
      <c r="B4" s="381" t="s">
        <v>200</v>
      </c>
      <c r="C4" s="373"/>
      <c r="D4" s="374"/>
      <c r="E4" s="374"/>
      <c r="F4" s="374"/>
      <c r="G4" s="375"/>
      <c r="H4" s="380" t="s">
        <v>183</v>
      </c>
      <c r="I4" s="643" t="s">
        <v>54</v>
      </c>
      <c r="J4" s="378"/>
      <c r="K4" s="381"/>
      <c r="L4" s="381"/>
      <c r="M4" s="641"/>
      <c r="N4" s="370"/>
    </row>
    <row r="5" spans="1:14" s="390" customFormat="1" ht="13.2" x14ac:dyDescent="0.25">
      <c r="A5" s="639" t="s">
        <v>112</v>
      </c>
      <c r="B5" s="387" t="s">
        <v>113</v>
      </c>
      <c r="C5" s="373"/>
      <c r="D5" s="374"/>
      <c r="E5" s="374"/>
      <c r="F5" s="374"/>
      <c r="G5" s="375"/>
      <c r="H5" s="380"/>
      <c r="I5" s="388"/>
      <c r="J5" s="378"/>
      <c r="K5" s="381"/>
      <c r="L5" s="381"/>
      <c r="M5" s="418"/>
      <c r="N5" s="389"/>
    </row>
    <row r="6" spans="1:14" s="389" customFormat="1" ht="13.8" thickBot="1" x14ac:dyDescent="0.25">
      <c r="A6" s="645"/>
      <c r="B6" s="646"/>
      <c r="C6" s="647"/>
      <c r="D6" s="648"/>
      <c r="E6" s="648"/>
      <c r="F6" s="648"/>
      <c r="G6" s="649"/>
      <c r="H6" s="650"/>
      <c r="I6" s="651"/>
      <c r="J6" s="649"/>
      <c r="K6" s="652"/>
      <c r="L6" s="646"/>
      <c r="M6" s="653"/>
    </row>
    <row r="7" spans="1:14" s="390" customFormat="1" ht="13.2" customHeight="1" x14ac:dyDescent="0.2">
      <c r="A7" s="950" t="s">
        <v>270</v>
      </c>
      <c r="B7" s="951"/>
      <c r="C7" s="389"/>
      <c r="D7" s="389"/>
    </row>
    <row r="8" spans="1:14" s="420" customFormat="1" ht="11.25" customHeight="1" x14ac:dyDescent="0.2">
      <c r="A8" s="418"/>
      <c r="B8" s="418"/>
      <c r="C8" s="419"/>
    </row>
    <row r="9" spans="1:14" s="431" customFormat="1" x14ac:dyDescent="0.2">
      <c r="A9" s="427"/>
      <c r="B9" s="428"/>
      <c r="C9" s="429"/>
      <c r="D9" s="430"/>
    </row>
    <row r="10" spans="1:14" s="431" customFormat="1" x14ac:dyDescent="0.2">
      <c r="A10" s="427" t="s">
        <v>271</v>
      </c>
      <c r="B10" s="427" t="s">
        <v>140</v>
      </c>
      <c r="C10" s="444"/>
    </row>
    <row r="11" spans="1:14" s="431" customFormat="1" ht="10.8" thickBot="1" x14ac:dyDescent="0.35">
      <c r="A11" s="461"/>
      <c r="B11" s="462" t="s">
        <v>142</v>
      </c>
      <c r="C11" s="444"/>
    </row>
    <row r="12" spans="1:14" s="431" customFormat="1" x14ac:dyDescent="0.3">
      <c r="A12" s="496" t="s">
        <v>227</v>
      </c>
      <c r="B12" s="497">
        <v>443</v>
      </c>
      <c r="C12" s="444"/>
    </row>
    <row r="13" spans="1:14" s="431" customFormat="1" x14ac:dyDescent="0.3">
      <c r="A13" s="496" t="s">
        <v>228</v>
      </c>
      <c r="B13" s="497">
        <v>437</v>
      </c>
      <c r="C13" s="444"/>
    </row>
    <row r="14" spans="1:14" s="431" customFormat="1" x14ac:dyDescent="0.3">
      <c r="A14" s="496" t="s">
        <v>229</v>
      </c>
      <c r="B14" s="498">
        <v>468</v>
      </c>
      <c r="C14" s="444"/>
    </row>
    <row r="15" spans="1:14" s="431" customFormat="1" x14ac:dyDescent="0.3">
      <c r="A15" s="496" t="s">
        <v>230</v>
      </c>
      <c r="B15" s="497">
        <v>455</v>
      </c>
      <c r="C15" s="444"/>
    </row>
    <row r="16" spans="1:14" s="431" customFormat="1" x14ac:dyDescent="0.3">
      <c r="A16" s="496" t="s">
        <v>231</v>
      </c>
      <c r="B16" s="497">
        <v>436</v>
      </c>
      <c r="C16" s="429"/>
    </row>
    <row r="17" spans="1:16" s="431" customFormat="1" x14ac:dyDescent="0.3">
      <c r="A17" s="496" t="s">
        <v>232</v>
      </c>
      <c r="B17" s="497">
        <v>445</v>
      </c>
      <c r="C17" s="429"/>
    </row>
    <row r="18" spans="1:16" s="431" customFormat="1" ht="10.199999999999999" customHeight="1" x14ac:dyDescent="0.3">
      <c r="A18" s="496" t="s">
        <v>233</v>
      </c>
      <c r="B18" s="497">
        <v>451</v>
      </c>
      <c r="C18" s="501"/>
    </row>
    <row r="19" spans="1:16" s="431" customFormat="1" x14ac:dyDescent="0.3">
      <c r="A19" s="496" t="s">
        <v>234</v>
      </c>
      <c r="B19" s="497">
        <v>442</v>
      </c>
      <c r="C19" s="502"/>
    </row>
    <row r="20" spans="1:16" s="504" customFormat="1" x14ac:dyDescent="0.3">
      <c r="A20" s="496"/>
      <c r="B20" s="497"/>
      <c r="C20" s="502"/>
    </row>
    <row r="21" spans="1:16" s="504" customFormat="1" x14ac:dyDescent="0.3">
      <c r="A21" s="496"/>
      <c r="B21" s="506"/>
      <c r="C21" s="502"/>
    </row>
    <row r="22" spans="1:16" s="504" customFormat="1" x14ac:dyDescent="0.3">
      <c r="A22" s="496"/>
      <c r="B22" s="521"/>
      <c r="C22" s="522"/>
    </row>
    <row r="23" spans="1:16" s="504" customFormat="1" x14ac:dyDescent="0.3">
      <c r="A23" s="496"/>
      <c r="B23" s="521"/>
      <c r="C23" s="522"/>
    </row>
    <row r="24" spans="1:16" s="504" customFormat="1" x14ac:dyDescent="0.3">
      <c r="A24" s="496"/>
      <c r="B24" s="521"/>
      <c r="C24" s="522"/>
    </row>
    <row r="25" spans="1:16" s="504" customFormat="1" x14ac:dyDescent="0.3">
      <c r="A25" s="496"/>
      <c r="B25" s="497"/>
      <c r="C25" s="522"/>
    </row>
    <row r="26" spans="1:16" s="504" customFormat="1" x14ac:dyDescent="0.3">
      <c r="A26" s="496"/>
      <c r="B26" s="497"/>
      <c r="C26" s="522"/>
    </row>
    <row r="27" spans="1:16" s="504" customFormat="1" x14ac:dyDescent="0.3">
      <c r="A27" s="496"/>
      <c r="B27" s="497"/>
      <c r="C27" s="522"/>
    </row>
    <row r="28" spans="1:16" x14ac:dyDescent="0.2">
      <c r="A28" s="496"/>
      <c r="B28" s="497"/>
      <c r="C28" s="522"/>
      <c r="D28" s="504"/>
      <c r="E28" s="504"/>
      <c r="F28" s="533"/>
      <c r="G28" s="533"/>
      <c r="H28" s="533"/>
      <c r="I28" s="533"/>
      <c r="J28" s="533"/>
      <c r="K28" s="533"/>
      <c r="L28" s="533"/>
      <c r="O28" s="533"/>
      <c r="P28" s="533"/>
    </row>
    <row r="29" spans="1:16" x14ac:dyDescent="0.2">
      <c r="A29" s="496"/>
      <c r="B29" s="497"/>
      <c r="C29" s="522"/>
      <c r="D29" s="504"/>
      <c r="E29" s="504"/>
      <c r="F29" s="533"/>
      <c r="G29" s="533"/>
      <c r="H29" s="533"/>
      <c r="I29" s="533"/>
      <c r="J29" s="533"/>
      <c r="K29" s="533"/>
      <c r="L29" s="533"/>
      <c r="O29" s="533"/>
      <c r="P29" s="533"/>
    </row>
    <row r="30" spans="1:16" x14ac:dyDescent="0.2">
      <c r="A30" s="496"/>
      <c r="B30" s="497"/>
      <c r="C30" s="522"/>
      <c r="D30" s="504"/>
      <c r="E30" s="504"/>
      <c r="F30" s="533"/>
      <c r="G30" s="533"/>
      <c r="H30" s="533"/>
      <c r="I30" s="533"/>
      <c r="J30" s="533"/>
      <c r="K30" s="533"/>
      <c r="L30" s="533"/>
      <c r="O30" s="533"/>
      <c r="P30" s="533"/>
    </row>
    <row r="31" spans="1:16" x14ac:dyDescent="0.2">
      <c r="A31" s="496"/>
      <c r="B31" s="497"/>
      <c r="C31" s="522"/>
      <c r="D31" s="504"/>
      <c r="E31" s="504"/>
      <c r="F31" s="533"/>
      <c r="G31" s="533"/>
      <c r="H31" s="533"/>
      <c r="I31" s="533"/>
      <c r="J31" s="533"/>
      <c r="K31" s="533"/>
      <c r="L31" s="533"/>
      <c r="O31" s="533"/>
      <c r="P31" s="533"/>
    </row>
    <row r="32" spans="1:16" x14ac:dyDescent="0.2">
      <c r="A32" s="496"/>
      <c r="B32" s="497"/>
      <c r="C32" s="522"/>
      <c r="D32" s="504"/>
      <c r="E32" s="504"/>
      <c r="F32" s="533"/>
      <c r="G32" s="533"/>
      <c r="H32" s="533"/>
      <c r="I32" s="533"/>
      <c r="J32" s="533"/>
      <c r="K32" s="533"/>
      <c r="L32" s="533"/>
      <c r="O32" s="533"/>
      <c r="P32" s="533"/>
    </row>
    <row r="33" spans="1:16" x14ac:dyDescent="0.2">
      <c r="A33" s="496"/>
      <c r="B33" s="497"/>
      <c r="C33" s="534"/>
      <c r="D33" s="533"/>
      <c r="E33" s="533"/>
      <c r="F33" s="533"/>
      <c r="G33" s="533"/>
      <c r="H33" s="533"/>
      <c r="I33" s="533"/>
      <c r="J33" s="533"/>
      <c r="K33" s="533"/>
      <c r="L33" s="533"/>
      <c r="O33" s="533"/>
      <c r="P33" s="533"/>
    </row>
    <row r="34" spans="1:16" x14ac:dyDescent="0.2">
      <c r="A34" s="496"/>
      <c r="B34" s="497"/>
      <c r="C34" s="535"/>
      <c r="D34" s="536"/>
      <c r="E34" s="537"/>
      <c r="F34" s="536"/>
      <c r="G34" s="533"/>
      <c r="H34" s="533"/>
      <c r="I34" s="533"/>
      <c r="J34" s="533"/>
      <c r="K34" s="533"/>
      <c r="L34" s="533"/>
      <c r="O34" s="533"/>
      <c r="P34" s="533"/>
    </row>
    <row r="35" spans="1:16" x14ac:dyDescent="0.2">
      <c r="A35" s="496"/>
      <c r="B35" s="497"/>
      <c r="C35" s="535"/>
      <c r="D35" s="536"/>
      <c r="E35" s="538"/>
      <c r="F35" s="536"/>
      <c r="G35" s="533"/>
      <c r="H35" s="533"/>
      <c r="I35" s="533"/>
      <c r="J35" s="533"/>
      <c r="K35" s="533"/>
      <c r="L35" s="533"/>
      <c r="O35" s="533"/>
      <c r="P35" s="533"/>
    </row>
    <row r="36" spans="1:16" x14ac:dyDescent="0.2">
      <c r="A36" s="496"/>
      <c r="B36" s="497"/>
      <c r="C36" s="539"/>
      <c r="D36" s="536"/>
      <c r="E36" s="536"/>
      <c r="F36" s="536"/>
      <c r="G36" s="533"/>
      <c r="H36" s="533"/>
      <c r="I36" s="533"/>
      <c r="J36" s="533"/>
      <c r="K36" s="533"/>
      <c r="L36" s="533"/>
      <c r="O36" s="533"/>
      <c r="P36" s="533"/>
    </row>
    <row r="37" spans="1:16" x14ac:dyDescent="0.2">
      <c r="A37" s="496"/>
      <c r="B37" s="497"/>
      <c r="C37" s="540"/>
      <c r="D37" s="541"/>
      <c r="E37" s="533"/>
      <c r="F37" s="533"/>
      <c r="G37" s="533"/>
      <c r="H37" s="533"/>
      <c r="I37" s="533"/>
      <c r="J37" s="533"/>
      <c r="K37" s="533"/>
      <c r="L37" s="533"/>
      <c r="O37" s="533"/>
      <c r="P37" s="533"/>
    </row>
    <row r="38" spans="1:16" x14ac:dyDescent="0.2">
      <c r="A38" s="496"/>
      <c r="B38" s="497"/>
      <c r="C38" s="541"/>
      <c r="D38" s="541"/>
      <c r="E38" s="533"/>
      <c r="F38" s="533"/>
      <c r="G38" s="533"/>
      <c r="H38" s="533"/>
      <c r="I38" s="533"/>
      <c r="J38" s="533"/>
      <c r="K38" s="533"/>
      <c r="L38" s="533"/>
      <c r="O38" s="533"/>
      <c r="P38" s="533"/>
    </row>
    <row r="39" spans="1:16" x14ac:dyDescent="0.2">
      <c r="A39" s="496"/>
      <c r="B39" s="497"/>
      <c r="C39" s="533"/>
      <c r="D39" s="533"/>
      <c r="E39" s="533"/>
      <c r="F39" s="533"/>
      <c r="G39" s="533"/>
      <c r="H39" s="533"/>
      <c r="I39" s="533"/>
      <c r="J39" s="533"/>
      <c r="K39" s="533"/>
      <c r="L39" s="533"/>
      <c r="O39" s="533"/>
      <c r="P39" s="533"/>
    </row>
    <row r="40" spans="1:16" x14ac:dyDescent="0.2">
      <c r="A40" s="496"/>
      <c r="B40" s="497"/>
      <c r="C40" s="533"/>
      <c r="D40" s="533"/>
      <c r="E40" s="533"/>
      <c r="F40" s="533"/>
      <c r="G40" s="533"/>
      <c r="H40" s="533"/>
      <c r="I40" s="533"/>
      <c r="J40" s="533"/>
      <c r="K40" s="533"/>
      <c r="L40" s="533"/>
      <c r="O40" s="533"/>
      <c r="P40" s="533"/>
    </row>
    <row r="41" spans="1:16" x14ac:dyDescent="0.2">
      <c r="A41" s="496"/>
      <c r="B41" s="497"/>
      <c r="C41" s="533"/>
      <c r="D41" s="533"/>
      <c r="E41" s="533"/>
      <c r="F41" s="533"/>
      <c r="G41" s="533"/>
      <c r="H41" s="533"/>
      <c r="I41" s="533"/>
      <c r="J41" s="533"/>
      <c r="K41" s="533"/>
      <c r="L41" s="533"/>
      <c r="O41" s="533"/>
      <c r="P41" s="533"/>
    </row>
    <row r="42" spans="1:16" x14ac:dyDescent="0.2">
      <c r="A42" s="496"/>
      <c r="B42" s="497"/>
      <c r="C42" s="533"/>
      <c r="D42" s="533"/>
      <c r="E42" s="533"/>
      <c r="F42" s="533"/>
      <c r="G42" s="533"/>
      <c r="H42" s="533"/>
      <c r="I42" s="533"/>
      <c r="J42" s="533"/>
      <c r="K42" s="533"/>
      <c r="L42" s="533"/>
      <c r="O42" s="533"/>
      <c r="P42" s="533"/>
    </row>
    <row r="43" spans="1:16" x14ac:dyDescent="0.2">
      <c r="A43" s="496"/>
      <c r="B43" s="497"/>
      <c r="C43" s="533"/>
      <c r="D43" s="533"/>
      <c r="E43" s="533"/>
      <c r="F43" s="533"/>
      <c r="G43" s="533"/>
      <c r="H43" s="533"/>
      <c r="I43" s="533"/>
      <c r="J43" s="533"/>
      <c r="K43" s="533"/>
      <c r="L43" s="533"/>
      <c r="O43" s="533"/>
      <c r="P43" s="533"/>
    </row>
    <row r="44" spans="1:16" x14ac:dyDescent="0.2">
      <c r="A44" s="496"/>
      <c r="B44" s="497"/>
      <c r="C44" s="533"/>
      <c r="D44" s="533"/>
      <c r="E44" s="533"/>
      <c r="F44" s="533"/>
      <c r="G44" s="533"/>
      <c r="H44" s="533"/>
      <c r="I44" s="533"/>
      <c r="J44" s="533"/>
      <c r="K44" s="533"/>
      <c r="L44" s="533"/>
      <c r="O44" s="533"/>
      <c r="P44" s="533"/>
    </row>
    <row r="45" spans="1:16" x14ac:dyDescent="0.2">
      <c r="A45" s="496"/>
      <c r="B45" s="497"/>
      <c r="C45" s="533"/>
      <c r="D45" s="533"/>
      <c r="E45" s="533"/>
      <c r="F45" s="533"/>
      <c r="G45" s="533"/>
      <c r="H45" s="533"/>
      <c r="I45" s="533"/>
      <c r="J45" s="533"/>
      <c r="K45" s="533"/>
      <c r="L45" s="533"/>
      <c r="O45" s="533"/>
      <c r="P45" s="533"/>
    </row>
    <row r="46" spans="1:16" x14ac:dyDescent="0.2">
      <c r="A46" s="496"/>
      <c r="B46" s="497"/>
      <c r="C46" s="533"/>
      <c r="D46" s="533"/>
      <c r="E46" s="533"/>
      <c r="F46" s="533"/>
      <c r="G46" s="533"/>
      <c r="H46" s="533"/>
      <c r="I46" s="533"/>
      <c r="J46" s="533"/>
      <c r="K46" s="533"/>
      <c r="L46" s="533"/>
      <c r="O46" s="533"/>
      <c r="P46" s="533"/>
    </row>
    <row r="47" spans="1:16" x14ac:dyDescent="0.2">
      <c r="A47" s="496"/>
      <c r="B47" s="497"/>
      <c r="C47" s="533"/>
      <c r="D47" s="533"/>
      <c r="E47" s="533"/>
      <c r="F47" s="533"/>
      <c r="G47" s="533"/>
      <c r="H47" s="533"/>
      <c r="I47" s="533"/>
      <c r="J47" s="533"/>
      <c r="K47" s="533"/>
      <c r="L47" s="533"/>
      <c r="O47" s="533"/>
      <c r="P47" s="533"/>
    </row>
    <row r="48" spans="1:16" x14ac:dyDescent="0.2">
      <c r="A48" s="496"/>
      <c r="B48" s="497"/>
      <c r="C48" s="533"/>
      <c r="D48" s="533"/>
      <c r="E48" s="533"/>
      <c r="F48" s="533"/>
      <c r="G48" s="533"/>
      <c r="H48" s="533"/>
      <c r="I48" s="533"/>
      <c r="J48" s="533"/>
      <c r="K48" s="533"/>
      <c r="L48" s="533"/>
      <c r="O48" s="533"/>
      <c r="P48" s="533"/>
    </row>
    <row r="49" spans="1:16" x14ac:dyDescent="0.2">
      <c r="A49" s="496"/>
      <c r="B49" s="497"/>
      <c r="C49" s="533"/>
      <c r="D49" s="533"/>
      <c r="E49" s="533"/>
      <c r="F49" s="533"/>
      <c r="G49" s="533"/>
      <c r="H49" s="533"/>
      <c r="I49" s="533"/>
      <c r="J49" s="533"/>
      <c r="K49" s="533"/>
      <c r="L49" s="533"/>
      <c r="O49" s="533"/>
      <c r="P49" s="533"/>
    </row>
    <row r="50" spans="1:16" x14ac:dyDescent="0.2">
      <c r="A50" s="496"/>
      <c r="B50" s="497"/>
      <c r="C50" s="533"/>
      <c r="D50" s="533"/>
      <c r="E50" s="533"/>
      <c r="F50" s="533"/>
      <c r="G50" s="533"/>
      <c r="H50" s="533"/>
      <c r="I50" s="533"/>
      <c r="J50" s="533"/>
      <c r="K50" s="533"/>
      <c r="L50" s="533"/>
      <c r="O50" s="533"/>
      <c r="P50" s="533"/>
    </row>
    <row r="51" spans="1:16" ht="10.8" thickBot="1" x14ac:dyDescent="0.25">
      <c r="A51" s="496"/>
      <c r="B51" s="542"/>
      <c r="C51" s="533"/>
      <c r="D51" s="533"/>
      <c r="E51" s="533"/>
      <c r="F51" s="533"/>
      <c r="G51" s="533"/>
      <c r="H51" s="533"/>
      <c r="I51" s="533"/>
      <c r="J51" s="533"/>
      <c r="K51" s="533"/>
      <c r="L51" s="533"/>
      <c r="O51" s="533"/>
      <c r="P51" s="533"/>
    </row>
    <row r="52" spans="1:16" x14ac:dyDescent="0.2">
      <c r="A52" s="543" t="s">
        <v>153</v>
      </c>
      <c r="B52" s="544">
        <f>AVERAGE(B12:B51)</f>
        <v>447.125</v>
      </c>
      <c r="C52" s="533"/>
      <c r="D52" s="533"/>
      <c r="E52" s="533"/>
      <c r="F52" s="533"/>
      <c r="G52" s="533"/>
      <c r="H52" s="533"/>
      <c r="I52" s="533"/>
      <c r="J52" s="533"/>
      <c r="K52" s="533"/>
      <c r="L52" s="533"/>
      <c r="O52" s="533"/>
      <c r="P52" s="533"/>
    </row>
    <row r="53" spans="1:16" x14ac:dyDescent="0.2">
      <c r="A53" s="370" t="s">
        <v>154</v>
      </c>
      <c r="B53" s="542">
        <f>STDEV(B12:B51)</f>
        <v>10.602391913418137</v>
      </c>
      <c r="C53" s="545"/>
      <c r="D53" s="545"/>
      <c r="E53" s="533"/>
      <c r="F53" s="533"/>
      <c r="G53" s="533"/>
      <c r="H53" s="533"/>
      <c r="I53" s="533"/>
      <c r="J53" s="533"/>
      <c r="K53" s="533"/>
      <c r="L53" s="533"/>
      <c r="O53" s="533"/>
      <c r="P53" s="533"/>
    </row>
    <row r="54" spans="1:16" x14ac:dyDescent="0.2">
      <c r="A54" s="370" t="s">
        <v>156</v>
      </c>
      <c r="B54" s="542">
        <f>B53/SQRT(COUNT(B12:B50))</f>
        <v>3.7485116093876893</v>
      </c>
      <c r="C54" s="540"/>
      <c r="D54" s="545"/>
      <c r="E54" s="545"/>
      <c r="F54" s="545"/>
      <c r="G54" s="533"/>
      <c r="H54" s="533"/>
      <c r="I54" s="533"/>
      <c r="J54" s="533"/>
      <c r="K54" s="533"/>
      <c r="L54" s="533"/>
      <c r="O54" s="533"/>
      <c r="P54" s="533"/>
    </row>
    <row r="55" spans="1:16" x14ac:dyDescent="0.2">
      <c r="A55" s="370" t="s">
        <v>157</v>
      </c>
      <c r="B55" s="542">
        <f>MAX(B12:B50)</f>
        <v>468</v>
      </c>
      <c r="C55" s="540"/>
      <c r="D55" s="533"/>
      <c r="E55" s="533"/>
      <c r="F55" s="533"/>
      <c r="G55" s="533"/>
      <c r="H55" s="533"/>
      <c r="I55" s="533"/>
      <c r="J55" s="533"/>
      <c r="K55" s="533"/>
      <c r="L55" s="533"/>
      <c r="O55" s="533"/>
      <c r="P55" s="533"/>
    </row>
    <row r="56" spans="1:16" ht="10.8" thickBot="1" x14ac:dyDescent="0.25">
      <c r="A56" s="582" t="s">
        <v>158</v>
      </c>
      <c r="B56" s="583">
        <f>MIN(B12:B50)</f>
        <v>436</v>
      </c>
      <c r="C56" s="545"/>
      <c r="D56" s="533"/>
      <c r="E56" s="533"/>
      <c r="F56" s="533"/>
      <c r="G56" s="533"/>
      <c r="H56" s="533"/>
      <c r="I56" s="533"/>
      <c r="J56" s="533"/>
      <c r="K56" s="533"/>
      <c r="L56" s="533"/>
      <c r="O56" s="533"/>
      <c r="P56" s="533"/>
    </row>
    <row r="57" spans="1:16" x14ac:dyDescent="0.2">
      <c r="A57" s="584"/>
      <c r="B57" s="584"/>
      <c r="C57" s="585"/>
      <c r="D57" s="586"/>
      <c r="E57" s="586"/>
      <c r="F57" s="586"/>
      <c r="G57" s="587"/>
      <c r="H57" s="588"/>
      <c r="I57" s="589"/>
      <c r="J57" s="590"/>
      <c r="K57" s="591"/>
      <c r="L57" s="592"/>
      <c r="M57" s="545"/>
      <c r="O57" s="533"/>
      <c r="P57" s="533"/>
    </row>
    <row r="58" spans="1:16" x14ac:dyDescent="0.2">
      <c r="A58" s="545"/>
      <c r="B58" s="545"/>
      <c r="C58" s="594"/>
      <c r="D58" s="594"/>
      <c r="E58" s="594"/>
      <c r="F58" s="594"/>
      <c r="G58" s="589"/>
      <c r="H58" s="588"/>
      <c r="I58" s="589"/>
      <c r="J58" s="590"/>
      <c r="K58" s="595"/>
      <c r="L58" s="592"/>
      <c r="M58" s="545"/>
      <c r="O58" s="533"/>
      <c r="P58" s="533"/>
    </row>
    <row r="59" spans="1:16" x14ac:dyDescent="0.2">
      <c r="A59" s="596"/>
      <c r="B59" s="596"/>
      <c r="C59" s="596"/>
      <c r="D59" s="596"/>
      <c r="E59" s="590"/>
      <c r="F59" s="597"/>
      <c r="G59" s="545"/>
      <c r="H59" s="533"/>
      <c r="I59" s="545"/>
      <c r="J59" s="533"/>
      <c r="K59" s="533"/>
      <c r="L59" s="545"/>
      <c r="M59" s="545"/>
      <c r="O59" s="533"/>
      <c r="P59" s="533"/>
    </row>
    <row r="60" spans="1:16" x14ac:dyDescent="0.2">
      <c r="A60" s="598"/>
      <c r="B60" s="598"/>
      <c r="C60" s="596"/>
      <c r="D60" s="596"/>
      <c r="E60" s="590"/>
      <c r="F60" s="597"/>
      <c r="G60" s="533"/>
      <c r="H60" s="533"/>
      <c r="I60" s="545"/>
      <c r="J60" s="533"/>
      <c r="K60" s="533"/>
      <c r="L60" s="545"/>
      <c r="M60" s="545"/>
      <c r="O60" s="533"/>
      <c r="P60" s="533"/>
    </row>
    <row r="61" spans="1:16" x14ac:dyDescent="0.2">
      <c r="A61" s="442"/>
      <c r="B61" s="442"/>
      <c r="C61" s="596"/>
      <c r="D61" s="596"/>
      <c r="E61" s="590"/>
      <c r="F61" s="597"/>
      <c r="G61" s="533"/>
      <c r="H61" s="533"/>
      <c r="I61" s="545"/>
      <c r="J61" s="533"/>
      <c r="K61" s="533"/>
      <c r="L61" s="545"/>
      <c r="M61" s="545"/>
      <c r="O61" s="533"/>
      <c r="P61" s="533"/>
    </row>
    <row r="62" spans="1:16" x14ac:dyDescent="0.2">
      <c r="A62" s="596"/>
      <c r="B62" s="596"/>
      <c r="C62" s="596"/>
      <c r="D62" s="596"/>
      <c r="E62" s="590"/>
      <c r="F62" s="597"/>
      <c r="G62" s="533"/>
      <c r="H62" s="533"/>
      <c r="I62" s="545"/>
      <c r="J62" s="533"/>
      <c r="K62" s="533"/>
      <c r="L62" s="545"/>
      <c r="M62" s="545"/>
      <c r="O62" s="533"/>
      <c r="P62" s="533"/>
    </row>
    <row r="63" spans="1:16" x14ac:dyDescent="0.2">
      <c r="A63" s="596"/>
      <c r="B63" s="596"/>
      <c r="C63" s="596"/>
      <c r="D63" s="596"/>
      <c r="E63" s="590"/>
      <c r="F63" s="597"/>
      <c r="G63" s="533"/>
      <c r="H63" s="533"/>
      <c r="I63" s="545"/>
      <c r="J63" s="589"/>
      <c r="K63" s="533"/>
      <c r="L63" s="545"/>
      <c r="M63" s="545"/>
      <c r="O63" s="533"/>
      <c r="P63" s="533"/>
    </row>
    <row r="64" spans="1:16" x14ac:dyDescent="0.2">
      <c r="A64" s="596"/>
      <c r="B64" s="596"/>
      <c r="C64" s="596"/>
      <c r="D64" s="596"/>
      <c r="E64" s="590"/>
      <c r="F64" s="597"/>
      <c r="G64" s="533"/>
      <c r="H64" s="533"/>
      <c r="I64" s="545"/>
      <c r="J64" s="589"/>
      <c r="K64" s="533"/>
      <c r="L64" s="545"/>
      <c r="M64" s="545"/>
      <c r="O64" s="533"/>
      <c r="P64" s="533"/>
    </row>
    <row r="65" spans="1:16" x14ac:dyDescent="0.2">
      <c r="A65" s="596"/>
      <c r="B65" s="596"/>
      <c r="C65" s="596"/>
      <c r="D65" s="596"/>
      <c r="E65" s="590"/>
      <c r="F65" s="597"/>
      <c r="G65" s="533"/>
      <c r="H65" s="533"/>
      <c r="I65" s="545"/>
      <c r="J65" s="533"/>
      <c r="K65" s="533"/>
      <c r="L65" s="545"/>
      <c r="M65" s="545"/>
      <c r="O65" s="533"/>
      <c r="P65" s="533"/>
    </row>
    <row r="66" spans="1:16" x14ac:dyDescent="0.2">
      <c r="A66" s="596"/>
      <c r="B66" s="596"/>
      <c r="C66" s="596"/>
      <c r="D66" s="596"/>
      <c r="E66" s="590"/>
      <c r="F66" s="597"/>
      <c r="G66" s="533"/>
      <c r="H66" s="533"/>
      <c r="I66" s="545"/>
      <c r="J66" s="533"/>
      <c r="K66" s="533"/>
      <c r="L66" s="545"/>
      <c r="M66" s="545"/>
      <c r="O66" s="533"/>
      <c r="P66" s="533"/>
    </row>
    <row r="67" spans="1:16" x14ac:dyDescent="0.2">
      <c r="A67" s="596"/>
      <c r="B67" s="596"/>
      <c r="C67" s="596"/>
      <c r="D67" s="596"/>
      <c r="E67" s="590"/>
      <c r="F67" s="597"/>
      <c r="G67" s="533"/>
      <c r="H67" s="533"/>
      <c r="I67" s="545"/>
      <c r="J67" s="533"/>
      <c r="K67" s="533"/>
      <c r="L67" s="545"/>
      <c r="M67" s="545"/>
      <c r="O67" s="533"/>
      <c r="P67" s="533"/>
    </row>
    <row r="68" spans="1:16" x14ac:dyDescent="0.2">
      <c r="A68" s="596"/>
      <c r="B68" s="596"/>
      <c r="C68" s="596"/>
      <c r="D68" s="596"/>
      <c r="E68" s="590"/>
      <c r="F68" s="597"/>
      <c r="G68" s="533"/>
      <c r="H68" s="533"/>
      <c r="I68" s="545"/>
      <c r="J68" s="533"/>
      <c r="K68" s="533"/>
      <c r="L68" s="545"/>
      <c r="M68" s="545"/>
      <c r="O68" s="533"/>
      <c r="P68" s="533"/>
    </row>
    <row r="69" spans="1:16" x14ac:dyDescent="0.2">
      <c r="A69" s="596"/>
      <c r="B69" s="596"/>
      <c r="C69" s="596"/>
      <c r="D69" s="596"/>
      <c r="E69" s="590"/>
      <c r="F69" s="597"/>
      <c r="G69" s="533"/>
      <c r="H69" s="533"/>
      <c r="I69" s="545"/>
      <c r="J69" s="533"/>
      <c r="K69" s="533"/>
      <c r="L69" s="545"/>
      <c r="M69" s="545"/>
      <c r="O69" s="533"/>
      <c r="P69" s="533"/>
    </row>
    <row r="70" spans="1:16" x14ac:dyDescent="0.2">
      <c r="A70" s="596"/>
      <c r="B70" s="596"/>
      <c r="C70" s="596"/>
      <c r="D70" s="596"/>
      <c r="E70" s="590"/>
      <c r="F70" s="597"/>
      <c r="G70" s="533"/>
      <c r="H70" s="533"/>
      <c r="I70" s="545"/>
      <c r="J70" s="533"/>
      <c r="K70" s="533"/>
      <c r="L70" s="545"/>
      <c r="O70" s="533"/>
      <c r="P70" s="533"/>
    </row>
    <row r="71" spans="1:16" x14ac:dyDescent="0.2">
      <c r="A71" s="596"/>
      <c r="B71" s="596"/>
      <c r="C71" s="596"/>
      <c r="D71" s="596"/>
      <c r="E71" s="590"/>
      <c r="F71" s="597"/>
      <c r="G71" s="533"/>
      <c r="H71" s="533"/>
      <c r="I71" s="545"/>
      <c r="J71" s="533"/>
      <c r="K71" s="533"/>
      <c r="L71" s="545"/>
      <c r="O71" s="533"/>
      <c r="P71" s="533"/>
    </row>
    <row r="72" spans="1:16" x14ac:dyDescent="0.2">
      <c r="A72" s="596"/>
      <c r="B72" s="596"/>
      <c r="C72" s="596"/>
      <c r="D72" s="596"/>
      <c r="E72" s="590"/>
      <c r="F72" s="597"/>
      <c r="G72" s="533"/>
      <c r="H72" s="533"/>
      <c r="I72" s="545"/>
      <c r="J72" s="533"/>
      <c r="K72" s="533"/>
      <c r="L72" s="533"/>
      <c r="O72" s="533"/>
      <c r="P72" s="533"/>
    </row>
    <row r="73" spans="1:16" x14ac:dyDescent="0.2">
      <c r="A73" s="596"/>
      <c r="B73" s="596"/>
      <c r="C73" s="596"/>
      <c r="D73" s="596"/>
      <c r="E73" s="590"/>
      <c r="F73" s="597"/>
      <c r="G73" s="533"/>
      <c r="H73" s="533"/>
      <c r="I73" s="545"/>
      <c r="J73" s="533"/>
      <c r="K73" s="533"/>
      <c r="L73" s="533"/>
      <c r="O73" s="533"/>
      <c r="P73" s="533"/>
    </row>
    <row r="74" spans="1:16" x14ac:dyDescent="0.2">
      <c r="A74" s="596"/>
      <c r="B74" s="596"/>
      <c r="C74" s="596"/>
      <c r="D74" s="596"/>
      <c r="E74" s="590"/>
      <c r="F74" s="597"/>
      <c r="G74" s="533"/>
      <c r="H74" s="533"/>
      <c r="I74" s="545"/>
      <c r="J74" s="533"/>
      <c r="K74" s="533"/>
      <c r="L74" s="533"/>
      <c r="O74" s="533"/>
      <c r="P74" s="533"/>
    </row>
    <row r="75" spans="1:16" x14ac:dyDescent="0.2">
      <c r="A75" s="596"/>
      <c r="B75" s="596"/>
      <c r="C75" s="596"/>
      <c r="D75" s="596"/>
      <c r="E75" s="590"/>
      <c r="F75" s="597"/>
      <c r="G75" s="533"/>
      <c r="H75" s="533"/>
      <c r="I75" s="545"/>
      <c r="J75" s="533"/>
      <c r="K75" s="533"/>
      <c r="L75" s="533"/>
      <c r="O75" s="533"/>
      <c r="P75" s="533"/>
    </row>
    <row r="76" spans="1:16" x14ac:dyDescent="0.2">
      <c r="A76" s="596"/>
      <c r="B76" s="596"/>
      <c r="C76" s="596"/>
      <c r="D76" s="596"/>
      <c r="E76" s="590"/>
      <c r="F76" s="597"/>
      <c r="G76" s="533"/>
      <c r="H76" s="533"/>
      <c r="I76" s="545"/>
      <c r="J76" s="533"/>
      <c r="K76" s="533"/>
      <c r="L76" s="533"/>
      <c r="O76" s="533"/>
      <c r="P76" s="533"/>
    </row>
    <row r="77" spans="1:16" x14ac:dyDescent="0.2">
      <c r="A77" s="596"/>
      <c r="B77" s="596"/>
      <c r="C77" s="596"/>
      <c r="D77" s="596"/>
      <c r="E77" s="590"/>
      <c r="F77" s="597"/>
      <c r="G77" s="533"/>
      <c r="H77" s="533"/>
      <c r="I77" s="545"/>
      <c r="J77" s="533"/>
      <c r="K77" s="533"/>
      <c r="L77" s="533"/>
      <c r="O77" s="533"/>
      <c r="P77" s="533"/>
    </row>
    <row r="78" spans="1:16" x14ac:dyDescent="0.2">
      <c r="A78" s="596"/>
      <c r="B78" s="596"/>
      <c r="C78" s="596"/>
      <c r="D78" s="596"/>
      <c r="E78" s="590"/>
      <c r="F78" s="597"/>
      <c r="G78" s="533"/>
      <c r="H78" s="533"/>
      <c r="I78" s="545"/>
      <c r="J78" s="533"/>
      <c r="K78" s="533"/>
      <c r="L78" s="533"/>
      <c r="O78" s="533"/>
      <c r="P78" s="533"/>
    </row>
    <row r="79" spans="1:16" x14ac:dyDescent="0.2">
      <c r="A79" s="596"/>
      <c r="B79" s="596"/>
      <c r="C79" s="596"/>
      <c r="D79" s="596"/>
      <c r="E79" s="590"/>
      <c r="F79" s="597"/>
      <c r="G79" s="533"/>
      <c r="H79" s="533"/>
      <c r="I79" s="545"/>
      <c r="J79" s="533"/>
      <c r="K79" s="533"/>
      <c r="L79" s="533"/>
      <c r="O79" s="533"/>
      <c r="P79" s="533"/>
    </row>
    <row r="80" spans="1:16" x14ac:dyDescent="0.2">
      <c r="A80" s="596"/>
      <c r="B80" s="596"/>
      <c r="C80" s="596"/>
      <c r="D80" s="596"/>
      <c r="E80" s="590"/>
      <c r="F80" s="597"/>
      <c r="G80" s="533"/>
      <c r="H80" s="533"/>
      <c r="I80" s="545"/>
      <c r="J80" s="533"/>
      <c r="K80" s="533"/>
      <c r="L80" s="533"/>
      <c r="O80" s="533"/>
      <c r="P80" s="533"/>
    </row>
    <row r="81" spans="1:17" x14ac:dyDescent="0.2">
      <c r="A81" s="596"/>
      <c r="B81" s="596"/>
      <c r="C81" s="596"/>
      <c r="D81" s="596"/>
      <c r="E81" s="590"/>
      <c r="F81" s="597"/>
      <c r="G81" s="533"/>
      <c r="H81" s="533"/>
      <c r="I81" s="545"/>
      <c r="J81" s="533"/>
      <c r="K81" s="533"/>
      <c r="L81" s="533"/>
      <c r="O81" s="533"/>
      <c r="P81" s="533"/>
    </row>
    <row r="82" spans="1:17" x14ac:dyDescent="0.2">
      <c r="A82" s="596"/>
      <c r="B82" s="596"/>
      <c r="C82" s="596"/>
      <c r="D82" s="596"/>
      <c r="E82" s="590"/>
      <c r="F82" s="597"/>
      <c r="G82" s="533"/>
      <c r="H82" s="533"/>
      <c r="I82" s="545"/>
      <c r="J82" s="533"/>
      <c r="K82" s="533"/>
      <c r="L82" s="533"/>
      <c r="O82" s="533"/>
      <c r="P82" s="533"/>
    </row>
    <row r="83" spans="1:17" x14ac:dyDescent="0.2">
      <c r="A83" s="596"/>
      <c r="B83" s="596"/>
      <c r="C83" s="596"/>
      <c r="D83" s="596"/>
      <c r="E83" s="590"/>
      <c r="F83" s="597"/>
      <c r="G83" s="593"/>
      <c r="H83" s="533"/>
      <c r="I83" s="545"/>
      <c r="J83" s="533"/>
      <c r="K83" s="533"/>
      <c r="L83" s="533"/>
      <c r="O83" s="533"/>
      <c r="P83" s="533"/>
    </row>
    <row r="84" spans="1:17" x14ac:dyDescent="0.2">
      <c r="A84" s="596"/>
      <c r="B84" s="596"/>
      <c r="C84" s="596"/>
      <c r="D84" s="596"/>
      <c r="E84" s="590"/>
      <c r="F84" s="597"/>
      <c r="G84" s="593"/>
      <c r="H84" s="533"/>
      <c r="I84" s="545"/>
      <c r="J84" s="533"/>
      <c r="K84" s="533"/>
      <c r="L84" s="533"/>
      <c r="O84" s="533"/>
      <c r="P84" s="533"/>
    </row>
    <row r="85" spans="1:17" x14ac:dyDescent="0.2">
      <c r="A85" s="596"/>
      <c r="B85" s="596"/>
      <c r="C85" s="596"/>
      <c r="D85" s="596"/>
      <c r="E85" s="590"/>
      <c r="F85" s="597"/>
      <c r="G85" s="593"/>
      <c r="H85" s="533"/>
      <c r="I85" s="545"/>
      <c r="J85" s="533"/>
      <c r="K85" s="533"/>
      <c r="L85" s="533"/>
      <c r="O85" s="533"/>
      <c r="P85" s="533"/>
    </row>
    <row r="86" spans="1:17" x14ac:dyDescent="0.2">
      <c r="A86" s="596"/>
      <c r="B86" s="596"/>
      <c r="C86" s="596"/>
      <c r="D86" s="596"/>
      <c r="E86" s="590"/>
      <c r="F86" s="597"/>
      <c r="G86" s="593"/>
      <c r="H86" s="533"/>
      <c r="I86" s="545"/>
      <c r="J86" s="533"/>
      <c r="K86" s="533"/>
      <c r="L86" s="533"/>
      <c r="O86" s="533"/>
      <c r="P86" s="533"/>
    </row>
    <row r="87" spans="1:17" x14ac:dyDescent="0.2">
      <c r="A87" s="596"/>
      <c r="B87" s="596"/>
      <c r="C87" s="596"/>
      <c r="D87" s="596"/>
      <c r="E87" s="590"/>
      <c r="F87" s="597"/>
      <c r="G87" s="533"/>
      <c r="H87" s="533"/>
      <c r="I87" s="545"/>
      <c r="J87" s="533"/>
      <c r="K87" s="533"/>
      <c r="L87" s="533"/>
      <c r="O87" s="533"/>
      <c r="P87" s="533"/>
    </row>
    <row r="88" spans="1:17" x14ac:dyDescent="0.2">
      <c r="A88" s="596"/>
      <c r="B88" s="596"/>
      <c r="C88" s="596"/>
      <c r="D88" s="596"/>
      <c r="E88" s="590"/>
      <c r="F88" s="597"/>
      <c r="G88" s="533"/>
      <c r="H88" s="533"/>
      <c r="I88" s="545"/>
      <c r="J88" s="533"/>
      <c r="K88" s="533"/>
      <c r="L88" s="533"/>
      <c r="O88" s="533"/>
      <c r="P88" s="533"/>
    </row>
    <row r="89" spans="1:17" s="596" customFormat="1" x14ac:dyDescent="0.2">
      <c r="E89" s="590"/>
      <c r="F89" s="597"/>
      <c r="G89" s="533"/>
      <c r="H89" s="533"/>
      <c r="I89" s="545"/>
      <c r="J89" s="533"/>
      <c r="K89" s="533"/>
      <c r="L89" s="533"/>
      <c r="M89" s="533"/>
      <c r="N89" s="533"/>
      <c r="O89" s="533"/>
      <c r="P89" s="533"/>
      <c r="Q89" s="533"/>
    </row>
    <row r="90" spans="1:17" s="596" customFormat="1" x14ac:dyDescent="0.2">
      <c r="E90" s="590"/>
      <c r="F90" s="597"/>
      <c r="G90" s="533"/>
      <c r="H90" s="533"/>
      <c r="I90" s="545"/>
      <c r="J90" s="533"/>
      <c r="K90" s="533"/>
      <c r="L90" s="533"/>
      <c r="M90" s="533"/>
      <c r="N90" s="533"/>
      <c r="O90" s="533"/>
      <c r="P90" s="533"/>
      <c r="Q90" s="533"/>
    </row>
    <row r="91" spans="1:17" s="596" customFormat="1" x14ac:dyDescent="0.2">
      <c r="E91" s="590"/>
      <c r="F91" s="597"/>
      <c r="G91" s="533"/>
      <c r="H91" s="533"/>
      <c r="I91" s="545"/>
      <c r="J91" s="533"/>
      <c r="K91" s="533"/>
      <c r="L91" s="533"/>
      <c r="M91" s="533"/>
      <c r="N91" s="533"/>
      <c r="O91" s="533"/>
      <c r="P91" s="533"/>
      <c r="Q91" s="533"/>
    </row>
    <row r="92" spans="1:17" s="596" customFormat="1" x14ac:dyDescent="0.2">
      <c r="E92" s="590"/>
      <c r="F92" s="597"/>
      <c r="G92" s="533"/>
      <c r="H92" s="533"/>
      <c r="I92" s="545"/>
      <c r="J92" s="533"/>
      <c r="K92" s="533"/>
      <c r="L92" s="533"/>
      <c r="M92" s="533"/>
      <c r="N92" s="533"/>
      <c r="O92" s="533"/>
      <c r="P92" s="533"/>
      <c r="Q92" s="533"/>
    </row>
    <row r="93" spans="1:17" s="596" customFormat="1" x14ac:dyDescent="0.2">
      <c r="E93" s="590"/>
      <c r="F93" s="597"/>
      <c r="G93" s="533"/>
      <c r="H93" s="533"/>
      <c r="I93" s="545"/>
      <c r="J93" s="533"/>
      <c r="K93" s="533"/>
      <c r="L93" s="533"/>
      <c r="M93" s="533"/>
      <c r="N93" s="533"/>
      <c r="O93" s="533"/>
      <c r="P93" s="533"/>
      <c r="Q93" s="533"/>
    </row>
    <row r="94" spans="1:17" s="596" customFormat="1" x14ac:dyDescent="0.2">
      <c r="E94" s="590"/>
      <c r="F94" s="597"/>
      <c r="G94" s="533"/>
      <c r="H94" s="533"/>
      <c r="I94" s="545"/>
      <c r="J94" s="533"/>
      <c r="K94" s="533"/>
      <c r="L94" s="533"/>
      <c r="M94" s="533"/>
    </row>
    <row r="95" spans="1:17" s="596" customFormat="1" x14ac:dyDescent="0.2">
      <c r="E95" s="590"/>
      <c r="F95" s="597"/>
      <c r="G95" s="533"/>
      <c r="H95" s="533"/>
      <c r="I95" s="545"/>
      <c r="J95" s="533"/>
      <c r="K95" s="533"/>
      <c r="L95" s="533"/>
      <c r="M95" s="533"/>
    </row>
    <row r="96" spans="1:17" s="596" customFormat="1" x14ac:dyDescent="0.2">
      <c r="E96" s="590"/>
      <c r="F96" s="597"/>
      <c r="G96" s="533"/>
      <c r="H96" s="533"/>
      <c r="I96" s="545"/>
      <c r="J96" s="533"/>
      <c r="K96" s="533"/>
      <c r="L96" s="533"/>
      <c r="M96" s="533"/>
    </row>
    <row r="97" spans="5:13" s="596" customFormat="1" x14ac:dyDescent="0.2">
      <c r="E97" s="590"/>
      <c r="F97" s="597"/>
      <c r="G97" s="533"/>
      <c r="H97" s="533"/>
      <c r="I97" s="545"/>
      <c r="J97" s="533"/>
      <c r="K97" s="533"/>
      <c r="L97" s="533"/>
      <c r="M97" s="533"/>
    </row>
    <row r="98" spans="5:13" s="596" customFormat="1" x14ac:dyDescent="0.2">
      <c r="E98" s="590"/>
      <c r="F98" s="597"/>
      <c r="G98" s="533"/>
      <c r="H98" s="533"/>
      <c r="I98" s="545"/>
      <c r="J98" s="533"/>
      <c r="K98" s="533"/>
      <c r="L98" s="533"/>
      <c r="M98" s="533"/>
    </row>
    <row r="99" spans="5:13" s="596" customFormat="1" x14ac:dyDescent="0.2">
      <c r="E99" s="590"/>
      <c r="F99" s="597"/>
      <c r="G99" s="533"/>
      <c r="H99" s="533"/>
      <c r="I99" s="545"/>
      <c r="J99" s="533"/>
      <c r="K99" s="533"/>
      <c r="L99" s="533"/>
      <c r="M99" s="533"/>
    </row>
    <row r="100" spans="5:13" s="596" customFormat="1" x14ac:dyDescent="0.2">
      <c r="E100" s="590"/>
      <c r="F100" s="597"/>
      <c r="G100" s="533"/>
      <c r="H100" s="533"/>
      <c r="I100" s="545"/>
      <c r="J100" s="533"/>
      <c r="K100" s="533"/>
      <c r="L100" s="533"/>
      <c r="M100" s="533"/>
    </row>
    <row r="101" spans="5:13" s="596" customFormat="1" x14ac:dyDescent="0.2">
      <c r="E101" s="590"/>
      <c r="F101" s="597"/>
      <c r="G101" s="533"/>
      <c r="H101" s="533"/>
      <c r="I101" s="545"/>
      <c r="J101" s="533"/>
      <c r="K101" s="533"/>
      <c r="L101" s="533"/>
      <c r="M101" s="533"/>
    </row>
    <row r="102" spans="5:13" s="596" customFormat="1" x14ac:dyDescent="0.2">
      <c r="E102" s="590"/>
      <c r="F102" s="597"/>
      <c r="G102" s="533"/>
      <c r="H102" s="533"/>
      <c r="I102" s="545"/>
      <c r="J102" s="533"/>
      <c r="K102" s="533"/>
      <c r="L102" s="533"/>
      <c r="M102" s="533"/>
    </row>
    <row r="103" spans="5:13" s="596" customFormat="1" x14ac:dyDescent="0.2">
      <c r="E103" s="590"/>
      <c r="F103" s="597"/>
      <c r="G103" s="533"/>
      <c r="H103" s="533"/>
      <c r="I103" s="545"/>
      <c r="J103" s="533"/>
      <c r="K103" s="533"/>
      <c r="L103" s="533"/>
      <c r="M103" s="533"/>
    </row>
    <row r="104" spans="5:13" s="596" customFormat="1" x14ac:dyDescent="0.2">
      <c r="E104" s="590"/>
      <c r="F104" s="597"/>
      <c r="G104" s="533"/>
      <c r="H104" s="533"/>
      <c r="I104" s="545"/>
      <c r="J104" s="533"/>
      <c r="K104" s="533"/>
      <c r="L104" s="533"/>
      <c r="M104" s="533"/>
    </row>
    <row r="105" spans="5:13" s="596" customFormat="1" x14ac:dyDescent="0.2">
      <c r="E105" s="590"/>
      <c r="F105" s="597"/>
      <c r="G105" s="533"/>
      <c r="H105" s="533"/>
      <c r="I105" s="545"/>
      <c r="J105" s="533"/>
      <c r="K105" s="533"/>
      <c r="L105" s="533"/>
      <c r="M105" s="533"/>
    </row>
    <row r="106" spans="5:13" s="596" customFormat="1" x14ac:dyDescent="0.2">
      <c r="E106" s="590"/>
      <c r="F106" s="597"/>
      <c r="G106" s="533"/>
      <c r="H106" s="533"/>
      <c r="I106" s="545"/>
      <c r="J106" s="533"/>
      <c r="K106" s="533"/>
      <c r="L106" s="533"/>
      <c r="M106" s="533"/>
    </row>
    <row r="107" spans="5:13" s="596" customFormat="1" x14ac:dyDescent="0.2">
      <c r="E107" s="590"/>
      <c r="F107" s="597"/>
      <c r="G107" s="533"/>
      <c r="H107" s="533"/>
      <c r="I107" s="545"/>
      <c r="J107" s="533"/>
      <c r="K107" s="533"/>
      <c r="L107" s="533"/>
      <c r="M107" s="533"/>
    </row>
    <row r="108" spans="5:13" s="596" customFormat="1" x14ac:dyDescent="0.2">
      <c r="E108" s="590"/>
      <c r="F108" s="597"/>
      <c r="G108" s="533"/>
      <c r="H108" s="533"/>
      <c r="I108" s="545"/>
      <c r="J108" s="533"/>
      <c r="K108" s="533"/>
      <c r="L108" s="533"/>
      <c r="M108" s="533"/>
    </row>
    <row r="109" spans="5:13" s="596" customFormat="1" x14ac:dyDescent="0.2">
      <c r="E109" s="590"/>
      <c r="F109" s="597"/>
      <c r="G109" s="533"/>
      <c r="H109" s="533"/>
      <c r="I109" s="545"/>
      <c r="J109" s="533"/>
      <c r="K109" s="533"/>
      <c r="L109" s="533"/>
    </row>
    <row r="110" spans="5:13" s="596" customFormat="1" x14ac:dyDescent="0.2">
      <c r="E110" s="590"/>
      <c r="F110" s="597"/>
      <c r="G110" s="533"/>
      <c r="H110" s="533"/>
      <c r="I110" s="545"/>
      <c r="J110" s="533"/>
      <c r="K110" s="533"/>
      <c r="L110" s="533"/>
    </row>
    <row r="111" spans="5:13" s="596" customFormat="1" x14ac:dyDescent="0.2">
      <c r="E111" s="590"/>
      <c r="F111" s="597"/>
      <c r="G111" s="533"/>
      <c r="H111" s="533"/>
      <c r="I111" s="545"/>
      <c r="J111" s="533"/>
      <c r="K111" s="533"/>
      <c r="L111" s="533"/>
    </row>
    <row r="112" spans="5:13" s="596" customFormat="1" x14ac:dyDescent="0.2">
      <c r="E112" s="590"/>
      <c r="F112" s="597"/>
      <c r="G112" s="533"/>
      <c r="H112" s="533"/>
      <c r="I112" s="545"/>
      <c r="J112" s="533"/>
      <c r="K112" s="533"/>
      <c r="L112" s="533"/>
    </row>
    <row r="113" spans="5:12" s="596" customFormat="1" x14ac:dyDescent="0.2">
      <c r="E113" s="590"/>
      <c r="F113" s="597"/>
      <c r="G113" s="533"/>
      <c r="H113" s="533"/>
      <c r="I113" s="545"/>
      <c r="J113" s="533"/>
      <c r="K113" s="533"/>
      <c r="L113" s="533"/>
    </row>
    <row r="114" spans="5:12" s="596" customFormat="1" x14ac:dyDescent="0.2">
      <c r="E114" s="590"/>
      <c r="F114" s="597"/>
      <c r="G114" s="533"/>
      <c r="H114" s="533"/>
      <c r="I114" s="545"/>
      <c r="J114" s="533"/>
      <c r="K114" s="533"/>
      <c r="L114" s="533"/>
    </row>
    <row r="115" spans="5:12" s="596" customFormat="1" x14ac:dyDescent="0.2">
      <c r="E115" s="590"/>
      <c r="F115" s="597"/>
      <c r="G115" s="533"/>
      <c r="H115" s="533"/>
      <c r="I115" s="545"/>
      <c r="J115" s="533"/>
      <c r="K115" s="533"/>
      <c r="L115" s="533"/>
    </row>
    <row r="116" spans="5:12" s="596" customFormat="1" x14ac:dyDescent="0.2">
      <c r="E116" s="590"/>
      <c r="F116" s="597"/>
      <c r="G116" s="533"/>
      <c r="H116" s="533"/>
      <c r="I116" s="545"/>
      <c r="J116" s="533"/>
      <c r="K116" s="533"/>
      <c r="L116" s="533"/>
    </row>
    <row r="117" spans="5:12" s="596" customFormat="1" x14ac:dyDescent="0.2">
      <c r="E117" s="590"/>
      <c r="F117" s="597"/>
      <c r="G117" s="533"/>
      <c r="H117" s="533"/>
      <c r="I117" s="545"/>
      <c r="J117" s="533"/>
      <c r="K117" s="533"/>
      <c r="L117" s="533"/>
    </row>
    <row r="118" spans="5:12" s="596" customFormat="1" x14ac:dyDescent="0.2">
      <c r="E118" s="590"/>
      <c r="F118" s="597"/>
      <c r="G118" s="533"/>
      <c r="H118" s="533"/>
      <c r="I118" s="545"/>
      <c r="J118" s="533"/>
      <c r="K118" s="533"/>
      <c r="L118" s="533"/>
    </row>
    <row r="119" spans="5:12" s="596" customFormat="1" x14ac:dyDescent="0.2">
      <c r="E119" s="590"/>
      <c r="F119" s="597"/>
      <c r="G119" s="533"/>
      <c r="H119" s="533"/>
      <c r="I119" s="545"/>
      <c r="J119" s="533"/>
      <c r="K119" s="533"/>
      <c r="L119" s="533"/>
    </row>
    <row r="120" spans="5:12" s="596" customFormat="1" x14ac:dyDescent="0.2">
      <c r="E120" s="590"/>
      <c r="F120" s="597"/>
      <c r="G120" s="533"/>
      <c r="H120" s="533"/>
      <c r="I120" s="545"/>
      <c r="J120" s="533"/>
      <c r="K120" s="533"/>
      <c r="L120" s="533"/>
    </row>
    <row r="121" spans="5:12" s="596" customFormat="1" x14ac:dyDescent="0.2">
      <c r="E121" s="590"/>
      <c r="F121" s="597"/>
      <c r="G121" s="533"/>
      <c r="H121" s="533"/>
      <c r="I121" s="545"/>
      <c r="J121" s="533"/>
      <c r="K121" s="533"/>
      <c r="L121" s="533"/>
    </row>
    <row r="122" spans="5:12" s="596" customFormat="1" x14ac:dyDescent="0.2">
      <c r="E122" s="590"/>
      <c r="F122" s="597"/>
      <c r="G122" s="533"/>
      <c r="H122" s="533"/>
      <c r="I122" s="545"/>
      <c r="J122" s="533"/>
      <c r="K122" s="533"/>
      <c r="L122" s="533"/>
    </row>
    <row r="123" spans="5:12" s="596" customFormat="1" x14ac:dyDescent="0.2">
      <c r="E123" s="590"/>
      <c r="F123" s="597"/>
      <c r="G123" s="533"/>
      <c r="H123" s="533"/>
      <c r="I123" s="545"/>
      <c r="J123" s="533"/>
      <c r="K123" s="533"/>
      <c r="L123" s="533"/>
    </row>
    <row r="124" spans="5:12" s="596" customFormat="1" x14ac:dyDescent="0.2">
      <c r="E124" s="590"/>
      <c r="F124" s="597"/>
      <c r="G124" s="533"/>
      <c r="H124" s="533"/>
      <c r="I124" s="545"/>
      <c r="J124" s="533"/>
      <c r="K124" s="533"/>
      <c r="L124" s="533"/>
    </row>
    <row r="125" spans="5:12" s="596" customFormat="1" x14ac:dyDescent="0.2">
      <c r="E125" s="590"/>
      <c r="F125" s="597"/>
      <c r="G125" s="533"/>
      <c r="H125" s="533"/>
      <c r="I125" s="545"/>
      <c r="J125" s="533"/>
      <c r="K125" s="533"/>
      <c r="L125" s="533"/>
    </row>
    <row r="126" spans="5:12" s="596" customFormat="1" x14ac:dyDescent="0.2">
      <c r="E126" s="590"/>
      <c r="F126" s="597"/>
      <c r="G126" s="533"/>
      <c r="H126" s="533"/>
      <c r="I126" s="545"/>
      <c r="J126" s="533"/>
      <c r="K126" s="533"/>
      <c r="L126" s="533"/>
    </row>
    <row r="127" spans="5:12" s="596" customFormat="1" x14ac:dyDescent="0.2">
      <c r="E127" s="590"/>
      <c r="F127" s="597"/>
      <c r="G127" s="533"/>
      <c r="H127" s="533"/>
      <c r="I127" s="545"/>
      <c r="J127" s="533"/>
      <c r="K127" s="533"/>
      <c r="L127" s="533"/>
    </row>
    <row r="128" spans="5:12" s="596" customFormat="1" x14ac:dyDescent="0.2">
      <c r="E128" s="590"/>
      <c r="F128" s="597"/>
      <c r="G128" s="533"/>
      <c r="H128" s="533"/>
      <c r="I128" s="545"/>
      <c r="J128" s="533"/>
      <c r="K128" s="533"/>
      <c r="L128" s="533"/>
    </row>
    <row r="129" spans="5:12" s="596" customFormat="1" x14ac:dyDescent="0.2">
      <c r="E129" s="590"/>
      <c r="F129" s="597"/>
      <c r="G129" s="533"/>
      <c r="H129" s="533"/>
      <c r="I129" s="545"/>
      <c r="J129" s="533"/>
      <c r="K129" s="533"/>
      <c r="L129" s="533"/>
    </row>
    <row r="130" spans="5:12" s="596" customFormat="1" x14ac:dyDescent="0.2">
      <c r="E130" s="590"/>
      <c r="F130" s="597"/>
      <c r="G130" s="533"/>
      <c r="H130" s="533"/>
      <c r="I130" s="545"/>
      <c r="J130" s="533"/>
      <c r="K130" s="533"/>
      <c r="L130" s="533"/>
    </row>
    <row r="131" spans="5:12" s="596" customFormat="1" x14ac:dyDescent="0.2">
      <c r="E131" s="590"/>
      <c r="F131" s="597"/>
      <c r="G131" s="533"/>
      <c r="H131" s="533"/>
      <c r="I131" s="545"/>
      <c r="J131" s="533"/>
      <c r="K131" s="533"/>
      <c r="L131" s="533"/>
    </row>
    <row r="132" spans="5:12" s="596" customFormat="1" x14ac:dyDescent="0.2">
      <c r="E132" s="590"/>
      <c r="F132" s="597"/>
      <c r="G132" s="533"/>
      <c r="H132" s="533"/>
      <c r="I132" s="545"/>
      <c r="J132" s="533"/>
      <c r="K132" s="533"/>
      <c r="L132" s="533"/>
    </row>
    <row r="133" spans="5:12" s="596" customFormat="1" x14ac:dyDescent="0.2">
      <c r="E133" s="590"/>
      <c r="F133" s="597"/>
      <c r="G133" s="533"/>
      <c r="H133" s="533"/>
      <c r="I133" s="545"/>
      <c r="J133" s="533"/>
      <c r="K133" s="533"/>
      <c r="L133" s="533"/>
    </row>
    <row r="134" spans="5:12" s="596" customFormat="1" x14ac:dyDescent="0.2">
      <c r="E134" s="590"/>
      <c r="F134" s="597"/>
      <c r="G134" s="533"/>
      <c r="H134" s="533"/>
      <c r="I134" s="545"/>
      <c r="J134" s="533"/>
      <c r="K134" s="533"/>
      <c r="L134" s="533"/>
    </row>
    <row r="135" spans="5:12" s="596" customFormat="1" x14ac:dyDescent="0.2">
      <c r="E135" s="590"/>
      <c r="F135" s="597"/>
      <c r="G135" s="533"/>
      <c r="H135" s="533"/>
      <c r="I135" s="545"/>
      <c r="J135" s="533"/>
      <c r="K135" s="533"/>
      <c r="L135" s="533"/>
    </row>
    <row r="136" spans="5:12" s="596" customFormat="1" x14ac:dyDescent="0.2">
      <c r="E136" s="590"/>
      <c r="F136" s="597"/>
      <c r="G136" s="533"/>
      <c r="H136" s="533"/>
      <c r="I136" s="545"/>
      <c r="J136" s="533"/>
      <c r="K136" s="533"/>
      <c r="L136" s="533"/>
    </row>
    <row r="137" spans="5:12" s="596" customFormat="1" x14ac:dyDescent="0.2">
      <c r="E137" s="590"/>
      <c r="F137" s="597"/>
      <c r="G137" s="533"/>
      <c r="H137" s="533"/>
      <c r="I137" s="545"/>
      <c r="J137" s="533"/>
      <c r="K137" s="533"/>
      <c r="L137" s="533"/>
    </row>
    <row r="138" spans="5:12" s="596" customFormat="1" x14ac:dyDescent="0.2">
      <c r="E138" s="590"/>
      <c r="F138" s="597"/>
      <c r="G138" s="533"/>
      <c r="H138" s="533"/>
      <c r="I138" s="545"/>
      <c r="J138" s="533"/>
      <c r="K138" s="533"/>
      <c r="L138" s="533"/>
    </row>
    <row r="139" spans="5:12" s="596" customFormat="1" x14ac:dyDescent="0.2">
      <c r="E139" s="590"/>
      <c r="F139" s="597"/>
      <c r="G139" s="533"/>
      <c r="H139" s="533"/>
      <c r="I139" s="545"/>
      <c r="J139" s="533"/>
      <c r="K139" s="533"/>
      <c r="L139" s="533"/>
    </row>
    <row r="140" spans="5:12" s="596" customFormat="1" x14ac:dyDescent="0.2">
      <c r="E140" s="590"/>
      <c r="F140" s="597"/>
      <c r="G140" s="533"/>
      <c r="H140" s="533"/>
      <c r="I140" s="545"/>
      <c r="J140" s="533"/>
      <c r="K140" s="533"/>
      <c r="L140" s="533"/>
    </row>
    <row r="141" spans="5:12" s="596" customFormat="1" x14ac:dyDescent="0.2">
      <c r="E141" s="590"/>
      <c r="F141" s="597"/>
      <c r="G141" s="533"/>
      <c r="H141" s="533"/>
      <c r="I141" s="545"/>
      <c r="J141" s="533"/>
      <c r="K141" s="533"/>
      <c r="L141" s="533"/>
    </row>
    <row r="142" spans="5:12" s="596" customFormat="1" x14ac:dyDescent="0.2">
      <c r="E142" s="590"/>
      <c r="F142" s="597"/>
      <c r="G142" s="533"/>
      <c r="H142" s="533"/>
      <c r="I142" s="545"/>
      <c r="J142" s="533"/>
      <c r="K142" s="533"/>
      <c r="L142" s="533"/>
    </row>
    <row r="143" spans="5:12" s="596" customFormat="1" x14ac:dyDescent="0.2">
      <c r="E143" s="590"/>
      <c r="F143" s="597"/>
      <c r="G143" s="533"/>
      <c r="H143" s="533"/>
      <c r="I143" s="545"/>
      <c r="J143" s="533"/>
      <c r="K143" s="533"/>
      <c r="L143" s="533"/>
    </row>
    <row r="144" spans="5:12" s="596" customFormat="1" x14ac:dyDescent="0.2">
      <c r="E144" s="590"/>
      <c r="F144" s="597"/>
      <c r="G144" s="533"/>
      <c r="H144" s="533"/>
      <c r="I144" s="545"/>
      <c r="J144" s="533"/>
      <c r="K144" s="533"/>
      <c r="L144" s="533"/>
    </row>
    <row r="145" spans="1:17" s="596" customFormat="1" x14ac:dyDescent="0.2">
      <c r="E145" s="590"/>
      <c r="F145" s="597"/>
      <c r="G145" s="533"/>
      <c r="H145" s="533"/>
      <c r="I145" s="545"/>
      <c r="J145" s="533"/>
      <c r="K145" s="533"/>
      <c r="L145" s="533"/>
    </row>
    <row r="146" spans="1:17" x14ac:dyDescent="0.2">
      <c r="A146" s="596"/>
      <c r="B146" s="596"/>
      <c r="C146" s="596"/>
      <c r="D146" s="596"/>
      <c r="E146" s="590"/>
      <c r="F146" s="597"/>
      <c r="G146" s="533"/>
      <c r="H146" s="533"/>
      <c r="I146" s="545"/>
      <c r="J146" s="533"/>
      <c r="K146" s="533"/>
      <c r="L146" s="533"/>
      <c r="M146" s="596"/>
      <c r="N146" s="596"/>
      <c r="O146" s="596"/>
      <c r="P146" s="596"/>
      <c r="Q146" s="596"/>
    </row>
    <row r="147" spans="1:17" x14ac:dyDescent="0.2">
      <c r="A147" s="596"/>
      <c r="B147" s="596"/>
      <c r="C147" s="596"/>
      <c r="D147" s="596"/>
      <c r="E147" s="590"/>
      <c r="F147" s="597"/>
      <c r="G147" s="533"/>
      <c r="H147" s="533"/>
      <c r="I147" s="545"/>
      <c r="J147" s="533"/>
      <c r="K147" s="533"/>
      <c r="L147" s="533"/>
      <c r="M147" s="596"/>
      <c r="N147" s="596"/>
      <c r="O147" s="596"/>
      <c r="P147" s="596"/>
      <c r="Q147" s="596"/>
    </row>
    <row r="148" spans="1:17" x14ac:dyDescent="0.2">
      <c r="A148" s="596"/>
      <c r="B148" s="596"/>
      <c r="C148" s="596"/>
      <c r="D148" s="596"/>
      <c r="E148" s="590"/>
      <c r="F148" s="597"/>
      <c r="G148" s="533"/>
      <c r="H148" s="533"/>
      <c r="I148" s="545"/>
      <c r="J148" s="533"/>
      <c r="K148" s="533"/>
      <c r="L148" s="533"/>
      <c r="M148" s="596"/>
      <c r="N148" s="596"/>
      <c r="O148" s="596"/>
      <c r="P148" s="596"/>
      <c r="Q148" s="596"/>
    </row>
    <row r="149" spans="1:17" x14ac:dyDescent="0.2">
      <c r="A149" s="596"/>
      <c r="B149" s="596"/>
      <c r="C149" s="596"/>
      <c r="D149" s="596"/>
      <c r="E149" s="590"/>
      <c r="F149" s="597"/>
      <c r="G149" s="533"/>
      <c r="H149" s="533"/>
      <c r="I149" s="545"/>
      <c r="J149" s="533"/>
      <c r="K149" s="533"/>
      <c r="L149" s="533"/>
      <c r="M149" s="596"/>
      <c r="N149" s="596"/>
      <c r="O149" s="596"/>
      <c r="P149" s="596"/>
      <c r="Q149" s="596"/>
    </row>
    <row r="150" spans="1:17" x14ac:dyDescent="0.2">
      <c r="A150" s="596"/>
      <c r="B150" s="596"/>
      <c r="C150" s="596"/>
      <c r="D150" s="596"/>
      <c r="E150" s="590"/>
      <c r="F150" s="597"/>
      <c r="G150" s="533"/>
      <c r="H150" s="533"/>
      <c r="I150" s="545"/>
      <c r="J150" s="533"/>
      <c r="K150" s="533"/>
      <c r="L150" s="533"/>
      <c r="M150" s="596"/>
      <c r="N150" s="596"/>
      <c r="O150" s="596"/>
      <c r="P150" s="596"/>
      <c r="Q150" s="596"/>
    </row>
    <row r="151" spans="1:17" x14ac:dyDescent="0.2">
      <c r="A151" s="596"/>
      <c r="B151" s="596"/>
      <c r="C151" s="596"/>
      <c r="D151" s="596"/>
      <c r="E151" s="590"/>
      <c r="F151" s="597"/>
      <c r="G151" s="533"/>
      <c r="H151" s="533"/>
      <c r="I151" s="545"/>
      <c r="J151" s="533"/>
      <c r="K151" s="533"/>
      <c r="L151" s="533"/>
      <c r="M151" s="596"/>
    </row>
    <row r="152" spans="1:17" x14ac:dyDescent="0.2">
      <c r="A152" s="596"/>
      <c r="B152" s="596"/>
      <c r="C152" s="596"/>
      <c r="D152" s="596"/>
      <c r="E152" s="590"/>
      <c r="F152" s="597"/>
      <c r="G152" s="533"/>
      <c r="H152" s="533"/>
      <c r="I152" s="545"/>
      <c r="J152" s="533"/>
      <c r="K152" s="533"/>
      <c r="L152" s="533"/>
      <c r="M152" s="596"/>
    </row>
    <row r="153" spans="1:17" x14ac:dyDescent="0.2">
      <c r="A153" s="596"/>
      <c r="B153" s="596"/>
      <c r="C153" s="596"/>
      <c r="D153" s="596"/>
      <c r="E153" s="590"/>
      <c r="F153" s="597"/>
      <c r="G153" s="533"/>
      <c r="H153" s="533"/>
      <c r="I153" s="545"/>
      <c r="J153" s="533"/>
      <c r="K153" s="533"/>
      <c r="L153" s="533"/>
      <c r="M153" s="596"/>
    </row>
    <row r="154" spans="1:17" x14ac:dyDescent="0.2">
      <c r="A154" s="596"/>
      <c r="B154" s="596"/>
      <c r="C154" s="596"/>
      <c r="D154" s="596"/>
      <c r="E154" s="590"/>
      <c r="F154" s="597"/>
      <c r="G154" s="533"/>
      <c r="H154" s="533"/>
      <c r="I154" s="545"/>
      <c r="J154" s="533"/>
      <c r="K154" s="533"/>
      <c r="L154" s="533"/>
      <c r="M154" s="596"/>
    </row>
    <row r="155" spans="1:17" x14ac:dyDescent="0.2">
      <c r="J155" s="533"/>
      <c r="K155" s="533"/>
      <c r="L155" s="533"/>
      <c r="M155" s="596"/>
    </row>
    <row r="156" spans="1:17" x14ac:dyDescent="0.2">
      <c r="J156" s="533"/>
      <c r="K156" s="533"/>
      <c r="L156" s="533"/>
      <c r="M156" s="596"/>
    </row>
    <row r="157" spans="1:17" x14ac:dyDescent="0.2">
      <c r="J157" s="533"/>
      <c r="K157" s="533"/>
      <c r="L157" s="533"/>
      <c r="M157" s="596"/>
    </row>
    <row r="158" spans="1:17" x14ac:dyDescent="0.2">
      <c r="J158" s="533"/>
      <c r="K158" s="533"/>
      <c r="L158" s="533"/>
      <c r="M158" s="596"/>
    </row>
    <row r="159" spans="1:17" x14ac:dyDescent="0.2">
      <c r="J159" s="533"/>
      <c r="K159" s="533"/>
      <c r="L159" s="533"/>
      <c r="M159" s="596"/>
    </row>
    <row r="160" spans="1:17" x14ac:dyDescent="0.2">
      <c r="J160" s="533"/>
      <c r="K160" s="533"/>
      <c r="L160" s="533"/>
      <c r="M160" s="596"/>
    </row>
    <row r="161" spans="11:13" x14ac:dyDescent="0.2">
      <c r="K161" s="533"/>
      <c r="L161" s="533"/>
      <c r="M161" s="596"/>
    </row>
    <row r="162" spans="11:13" x14ac:dyDescent="0.2">
      <c r="K162" s="533"/>
      <c r="L162" s="533"/>
      <c r="M162" s="596"/>
    </row>
    <row r="163" spans="11:13" x14ac:dyDescent="0.2">
      <c r="K163" s="533"/>
      <c r="L163" s="533"/>
      <c r="M163" s="596"/>
    </row>
    <row r="164" spans="11:13" x14ac:dyDescent="0.2">
      <c r="L164" s="533"/>
      <c r="M164" s="596"/>
    </row>
    <row r="165" spans="11:13" x14ac:dyDescent="0.2">
      <c r="L165" s="533"/>
      <c r="M165" s="596"/>
    </row>
    <row r="166" spans="11:13" x14ac:dyDescent="0.2">
      <c r="L166" s="533"/>
    </row>
    <row r="167" spans="11:13" x14ac:dyDescent="0.2">
      <c r="L167" s="533"/>
    </row>
    <row r="168" spans="11:13" x14ac:dyDescent="0.2">
      <c r="L168" s="533"/>
    </row>
  </sheetData>
  <mergeCells count="1">
    <mergeCell ref="A7:B7"/>
  </mergeCells>
  <dataValidations count="1">
    <dataValidation type="list" allowBlank="1" showInputMessage="1" showErrorMessage="1" sqref="B5" xr:uid="{1FE635F0-35BF-46F5-ACB4-589F97A85ABA}">
      <formula1>$AB$5:$AB$8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D1E6-72DA-42EF-B789-13D398962224}">
  <dimension ref="A1:Z169"/>
  <sheetViews>
    <sheetView workbookViewId="0">
      <selection activeCell="Q26" sqref="Q26"/>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12" style="596" bestFit="1" customWidth="1"/>
    <col min="8" max="8" width="9.33203125" style="599" customWidth="1"/>
    <col min="9" max="9" width="12" style="596" bestFit="1" customWidth="1"/>
    <col min="10" max="10" width="8.44140625" style="596" bestFit="1" customWidth="1"/>
    <col min="11" max="11" width="8.44140625" style="590" bestFit="1" customWidth="1"/>
    <col min="12" max="12" width="13.6640625" style="597" bestFit="1" customWidth="1"/>
    <col min="13" max="13" width="6.33203125" style="533" bestFit="1" customWidth="1"/>
    <col min="14" max="14" width="5.6640625" style="533" bestFit="1" customWidth="1"/>
    <col min="15" max="15" width="5.88671875" style="545" bestFit="1" customWidth="1"/>
    <col min="16" max="16" width="5.88671875" style="426" bestFit="1" customWidth="1"/>
    <col min="17" max="17" width="14" style="593" bestFit="1" customWidth="1"/>
    <col min="18" max="18" width="6" style="593" bestFit="1" customWidth="1"/>
    <col min="19" max="19" width="8.6640625" style="593" bestFit="1" customWidth="1"/>
    <col min="20" max="21" width="17.33203125" style="533" bestFit="1" customWidth="1"/>
    <col min="22" max="22" width="9.33203125" style="533" bestFit="1" customWidth="1"/>
    <col min="23" max="27" width="5.33203125" style="533" customWidth="1"/>
    <col min="28" max="28" width="17" style="533" customWidth="1"/>
    <col min="29" max="16384" width="7.88671875" style="533"/>
  </cols>
  <sheetData>
    <row r="1" spans="1:24" s="369" customFormat="1" ht="13.2" x14ac:dyDescent="0.25">
      <c r="A1" s="361" t="s">
        <v>104</v>
      </c>
      <c r="B1" s="362" t="s">
        <v>159</v>
      </c>
      <c r="C1" s="363"/>
      <c r="D1" s="362"/>
      <c r="E1" s="364"/>
      <c r="F1" s="364"/>
      <c r="G1" s="365"/>
      <c r="H1" s="366" t="s">
        <v>105</v>
      </c>
      <c r="I1" s="367">
        <v>526</v>
      </c>
      <c r="J1" s="368"/>
      <c r="K1" s="362"/>
      <c r="L1" s="362"/>
      <c r="N1" s="370"/>
      <c r="P1" s="371"/>
      <c r="Q1" s="371"/>
      <c r="R1" s="371"/>
      <c r="S1" s="371"/>
    </row>
    <row r="2" spans="1:24" s="369" customFormat="1" ht="13.2" x14ac:dyDescent="0.25">
      <c r="A2" s="372" t="s">
        <v>106</v>
      </c>
      <c r="B2" s="362" t="s">
        <v>185</v>
      </c>
      <c r="C2" s="373"/>
      <c r="D2" s="362"/>
      <c r="E2" s="374"/>
      <c r="F2" s="374"/>
      <c r="G2" s="375"/>
      <c r="H2" s="376" t="s">
        <v>107</v>
      </c>
      <c r="I2" s="377">
        <f>V12</f>
        <v>526</v>
      </c>
      <c r="J2" s="378"/>
      <c r="K2" s="362"/>
      <c r="L2" s="362"/>
      <c r="N2" s="379"/>
      <c r="P2" s="371"/>
      <c r="Q2" s="371"/>
      <c r="R2" s="371"/>
      <c r="S2" s="371"/>
    </row>
    <row r="3" spans="1:24" s="383" customFormat="1" ht="11.25" customHeight="1" x14ac:dyDescent="0.25">
      <c r="A3" s="380" t="s">
        <v>108</v>
      </c>
      <c r="B3" s="632">
        <v>45784</v>
      </c>
      <c r="C3" s="373"/>
      <c r="D3" s="374"/>
      <c r="E3" s="374"/>
      <c r="F3" s="374"/>
      <c r="G3" s="375"/>
      <c r="H3" s="380" t="s">
        <v>109</v>
      </c>
      <c r="I3" s="386">
        <f>V53/100</f>
        <v>5.1362500000000004</v>
      </c>
      <c r="J3" s="378"/>
      <c r="K3" s="362"/>
      <c r="L3" s="362"/>
      <c r="N3" s="384"/>
      <c r="P3" s="385"/>
      <c r="Q3" s="385"/>
      <c r="R3" s="385"/>
      <c r="S3" s="385"/>
    </row>
    <row r="4" spans="1:24" s="369" customFormat="1" ht="13.2" x14ac:dyDescent="0.25">
      <c r="A4" s="380" t="s">
        <v>110</v>
      </c>
      <c r="B4" s="381" t="s">
        <v>200</v>
      </c>
      <c r="C4" s="373"/>
      <c r="D4" s="374"/>
      <c r="E4" s="374"/>
      <c r="F4" s="374"/>
      <c r="G4" s="375"/>
      <c r="H4" s="380" t="s">
        <v>111</v>
      </c>
      <c r="I4" s="386">
        <f>S36</f>
        <v>0.44723778553461419</v>
      </c>
      <c r="J4" s="378"/>
      <c r="K4" s="362"/>
      <c r="L4" s="362"/>
      <c r="M4" s="370"/>
      <c r="N4" s="370"/>
      <c r="P4" s="371"/>
      <c r="Q4" s="371"/>
      <c r="R4" s="371"/>
      <c r="S4" s="371"/>
    </row>
    <row r="5" spans="1:24" s="390" customFormat="1" ht="13.2" x14ac:dyDescent="0.25">
      <c r="A5" s="372" t="s">
        <v>112</v>
      </c>
      <c r="B5" s="387" t="s">
        <v>113</v>
      </c>
      <c r="C5" s="373"/>
      <c r="D5" s="374"/>
      <c r="E5" s="374"/>
      <c r="F5" s="374"/>
      <c r="G5" s="375"/>
      <c r="H5" s="380" t="s">
        <v>272</v>
      </c>
      <c r="I5" s="899">
        <f>I4*I2/100</f>
        <v>2.3524707519120707</v>
      </c>
      <c r="J5" s="378"/>
      <c r="K5" s="362"/>
      <c r="L5" s="362"/>
      <c r="M5" s="389"/>
      <c r="N5" s="389"/>
      <c r="P5" s="391"/>
      <c r="Q5" s="391"/>
      <c r="R5" s="391"/>
      <c r="S5" s="391"/>
    </row>
    <row r="6" spans="1:24" s="389" customFormat="1" ht="13.8" thickBot="1" x14ac:dyDescent="0.25">
      <c r="A6" s="392"/>
      <c r="B6" s="393"/>
      <c r="C6" s="394"/>
      <c r="D6" s="395"/>
      <c r="E6" s="395"/>
      <c r="F6" s="395"/>
      <c r="G6" s="396"/>
      <c r="H6" s="397"/>
      <c r="I6" s="398"/>
      <c r="J6" s="396"/>
      <c r="K6" s="393"/>
      <c r="L6" s="393"/>
      <c r="M6" s="399"/>
      <c r="P6" s="400"/>
      <c r="Q6" s="400"/>
      <c r="R6" s="400"/>
      <c r="S6" s="400"/>
    </row>
    <row r="7" spans="1:24" s="390" customFormat="1" ht="13.2" customHeight="1" x14ac:dyDescent="0.2">
      <c r="A7" s="952" t="s">
        <v>114</v>
      </c>
      <c r="B7" s="953"/>
      <c r="C7" s="953"/>
      <c r="D7" s="953"/>
      <c r="E7" s="953"/>
      <c r="F7" s="953"/>
      <c r="G7" s="953"/>
      <c r="H7" s="953"/>
      <c r="I7" s="953"/>
      <c r="J7" s="953"/>
      <c r="K7" s="953"/>
      <c r="L7" s="953"/>
      <c r="M7" s="954" t="s">
        <v>115</v>
      </c>
      <c r="N7" s="955"/>
      <c r="O7" s="956"/>
      <c r="P7" s="401" t="s">
        <v>116</v>
      </c>
      <c r="Q7" s="402"/>
      <c r="R7" s="401" t="s">
        <v>117</v>
      </c>
      <c r="S7" s="401"/>
      <c r="T7" s="403"/>
      <c r="U7" s="950" t="s">
        <v>118</v>
      </c>
      <c r="V7" s="951"/>
      <c r="W7" s="389"/>
      <c r="X7" s="389"/>
    </row>
    <row r="8" spans="1:24" s="420" customFormat="1" x14ac:dyDescent="0.2">
      <c r="A8" s="404"/>
      <c r="B8" s="399"/>
      <c r="C8" s="405"/>
      <c r="D8" s="406"/>
      <c r="E8" s="407"/>
      <c r="F8" s="408"/>
      <c r="G8" s="409"/>
      <c r="H8" s="410"/>
      <c r="I8" s="410"/>
      <c r="J8" s="410"/>
      <c r="K8" s="410"/>
      <c r="L8" s="411"/>
      <c r="M8" s="412"/>
      <c r="N8" s="413"/>
      <c r="O8" s="414"/>
      <c r="P8" s="415"/>
      <c r="Q8" s="416"/>
      <c r="R8" s="415"/>
      <c r="S8" s="415"/>
      <c r="T8" s="417"/>
      <c r="U8" s="418"/>
      <c r="V8" s="418"/>
      <c r="W8" s="419"/>
    </row>
    <row r="9" spans="1:24" s="431" customFormat="1" ht="13.2" customHeight="1" x14ac:dyDescent="0.2">
      <c r="A9" s="421"/>
      <c r="B9" s="389"/>
      <c r="C9" s="422"/>
      <c r="D9" s="957" t="s">
        <v>119</v>
      </c>
      <c r="E9" s="958"/>
      <c r="F9" s="959"/>
      <c r="G9" s="423"/>
      <c r="H9" s="960" t="s">
        <v>120</v>
      </c>
      <c r="I9" s="961"/>
      <c r="J9" s="961"/>
      <c r="K9" s="962"/>
      <c r="L9" s="424"/>
      <c r="M9" s="425"/>
      <c r="N9" s="413" t="s">
        <v>121</v>
      </c>
      <c r="O9" s="414"/>
      <c r="P9" s="415"/>
      <c r="Q9" s="416"/>
      <c r="R9" s="426"/>
      <c r="S9" s="426"/>
      <c r="T9" s="417"/>
      <c r="U9" s="427"/>
      <c r="V9" s="428"/>
      <c r="W9" s="429"/>
      <c r="X9" s="430"/>
    </row>
    <row r="10" spans="1:24" s="431" customFormat="1" x14ac:dyDescent="0.2">
      <c r="A10" s="432" t="s">
        <v>122</v>
      </c>
      <c r="B10" s="433" t="s">
        <v>51</v>
      </c>
      <c r="C10" s="434" t="s">
        <v>123</v>
      </c>
      <c r="D10" s="435" t="s">
        <v>124</v>
      </c>
      <c r="E10" s="436" t="s">
        <v>125</v>
      </c>
      <c r="F10" s="437" t="s">
        <v>126</v>
      </c>
      <c r="G10" s="423" t="s">
        <v>127</v>
      </c>
      <c r="H10" s="438" t="s">
        <v>128</v>
      </c>
      <c r="I10" s="438" t="s">
        <v>129</v>
      </c>
      <c r="J10" s="438" t="s">
        <v>130</v>
      </c>
      <c r="K10" s="438" t="s">
        <v>131</v>
      </c>
      <c r="L10" s="424" t="s">
        <v>132</v>
      </c>
      <c r="M10" s="439" t="s">
        <v>133</v>
      </c>
      <c r="N10" s="440" t="s">
        <v>134</v>
      </c>
      <c r="O10" s="441" t="s">
        <v>135</v>
      </c>
      <c r="P10" s="442" t="s">
        <v>136</v>
      </c>
      <c r="Q10" s="416" t="s">
        <v>137</v>
      </c>
      <c r="R10" s="442" t="s">
        <v>137</v>
      </c>
      <c r="S10" s="442" t="s">
        <v>136</v>
      </c>
      <c r="T10" s="443" t="s">
        <v>138</v>
      </c>
      <c r="U10" s="427" t="s">
        <v>139</v>
      </c>
      <c r="V10" s="427" t="s">
        <v>140</v>
      </c>
      <c r="W10" s="444"/>
    </row>
    <row r="11" spans="1:24" s="431" customFormat="1" ht="12" thickBot="1" x14ac:dyDescent="0.25">
      <c r="A11" s="445" t="s">
        <v>141</v>
      </c>
      <c r="B11" s="446" t="s">
        <v>141</v>
      </c>
      <c r="C11" s="447" t="s">
        <v>142</v>
      </c>
      <c r="D11" s="448" t="s">
        <v>143</v>
      </c>
      <c r="E11" s="449" t="s">
        <v>143</v>
      </c>
      <c r="F11" s="450" t="s">
        <v>143</v>
      </c>
      <c r="G11" s="451" t="s">
        <v>143</v>
      </c>
      <c r="H11" s="452" t="s">
        <v>143</v>
      </c>
      <c r="I11" s="452" t="s">
        <v>143</v>
      </c>
      <c r="J11" s="452" t="s">
        <v>143</v>
      </c>
      <c r="K11" s="452" t="s">
        <v>143</v>
      </c>
      <c r="L11" s="453" t="s">
        <v>143</v>
      </c>
      <c r="M11" s="454" t="s">
        <v>144</v>
      </c>
      <c r="N11" s="455" t="s">
        <v>142</v>
      </c>
      <c r="O11" s="456" t="s">
        <v>142</v>
      </c>
      <c r="P11" s="457" t="s">
        <v>145</v>
      </c>
      <c r="Q11" s="458" t="s">
        <v>146</v>
      </c>
      <c r="R11" s="459" t="s">
        <v>36</v>
      </c>
      <c r="S11" s="459" t="s">
        <v>147</v>
      </c>
      <c r="T11" s="460"/>
      <c r="U11" s="461"/>
      <c r="V11" s="462" t="s">
        <v>143</v>
      </c>
      <c r="W11" s="444"/>
    </row>
    <row r="12" spans="1:2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71"/>
      <c r="N12" s="472"/>
      <c r="O12" s="473"/>
      <c r="P12" s="474"/>
      <c r="Q12" s="475"/>
      <c r="R12" s="476"/>
      <c r="S12" s="477"/>
      <c r="T12" s="478"/>
      <c r="U12" s="479" t="s">
        <v>184</v>
      </c>
      <c r="V12" s="480">
        <v>526</v>
      </c>
      <c r="W12" s="481"/>
    </row>
    <row r="13" spans="1:24" s="431" customFormat="1" x14ac:dyDescent="0.3">
      <c r="A13" s="482">
        <v>295</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(C13+C14-10)/2</f>
        <v>10</v>
      </c>
      <c r="P13" s="491">
        <f t="shared" ref="P13:P18" si="0">(A13-B13)/M13</f>
        <v>0.29499999999999998</v>
      </c>
      <c r="Q13" s="492">
        <f t="shared" ref="Q13:Q18" si="1">(P13*(O13-N13))/100</f>
        <v>2.9499999999999998E-2</v>
      </c>
      <c r="R13" s="493">
        <f>SUM(Q$13:Q13)</f>
        <v>2.9499999999999998E-2</v>
      </c>
      <c r="S13" s="494">
        <f t="shared" ref="S13:S18" si="2">R13/O13*100</f>
        <v>0.29499999999999998</v>
      </c>
      <c r="T13" s="495"/>
      <c r="U13" s="496" t="s">
        <v>235</v>
      </c>
      <c r="V13" s="497">
        <v>502</v>
      </c>
      <c r="W13" s="444"/>
    </row>
    <row r="14" spans="1:24" s="431" customFormat="1" x14ac:dyDescent="0.3">
      <c r="A14" s="482">
        <v>250</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(C13+C14-10)/2</f>
        <v>10</v>
      </c>
      <c r="O14" s="490">
        <f>(C14+C15-10)/2</f>
        <v>20</v>
      </c>
      <c r="P14" s="491">
        <f t="shared" si="0"/>
        <v>0.25</v>
      </c>
      <c r="Q14" s="492">
        <f t="shared" si="1"/>
        <v>2.5000000000000001E-2</v>
      </c>
      <c r="R14" s="493">
        <f>SUM(Q$13:Q14)</f>
        <v>5.45E-2</v>
      </c>
      <c r="S14" s="494">
        <f t="shared" si="2"/>
        <v>0.27250000000000002</v>
      </c>
      <c r="T14" s="495"/>
      <c r="U14" s="496" t="s">
        <v>236</v>
      </c>
      <c r="V14" s="497">
        <v>500</v>
      </c>
      <c r="W14" s="444"/>
    </row>
    <row r="15" spans="1:24" s="431" customFormat="1" x14ac:dyDescent="0.3">
      <c r="A15" s="482">
        <v>260</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(C14+C15-10)/2</f>
        <v>20</v>
      </c>
      <c r="O15" s="490">
        <f>(C15+C16-10)/2</f>
        <v>30</v>
      </c>
      <c r="P15" s="491">
        <f t="shared" si="0"/>
        <v>0.26</v>
      </c>
      <c r="Q15" s="492">
        <f t="shared" si="1"/>
        <v>2.6000000000000002E-2</v>
      </c>
      <c r="R15" s="493">
        <f>SUM(Q$13:Q15)</f>
        <v>8.0500000000000002E-2</v>
      </c>
      <c r="S15" s="494">
        <f t="shared" si="2"/>
        <v>0.26833333333333337</v>
      </c>
      <c r="T15" s="495"/>
      <c r="U15" s="496" t="s">
        <v>237</v>
      </c>
      <c r="V15" s="498">
        <v>514</v>
      </c>
      <c r="W15" s="444"/>
    </row>
    <row r="16" spans="1:24" s="431" customFormat="1" x14ac:dyDescent="0.3">
      <c r="A16" s="499">
        <v>310</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(C15+C16-10)/2</f>
        <v>30</v>
      </c>
      <c r="O16" s="490">
        <f>(C16+C17-10)/2</f>
        <v>40</v>
      </c>
      <c r="P16" s="491">
        <f t="shared" si="0"/>
        <v>0.31</v>
      </c>
      <c r="Q16" s="492">
        <f t="shared" si="1"/>
        <v>3.1E-2</v>
      </c>
      <c r="R16" s="493">
        <f>SUM(Q$13:Q16)</f>
        <v>0.1115</v>
      </c>
      <c r="S16" s="494">
        <f t="shared" si="2"/>
        <v>0.27875</v>
      </c>
      <c r="T16" s="495"/>
      <c r="U16" s="496" t="s">
        <v>238</v>
      </c>
      <c r="V16" s="497">
        <v>503</v>
      </c>
      <c r="W16" s="444"/>
    </row>
    <row r="17" spans="1:25" s="431" customFormat="1" x14ac:dyDescent="0.3">
      <c r="A17" s="499">
        <v>375</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(C16+C17-10)/2</f>
        <v>40</v>
      </c>
      <c r="O17" s="490">
        <f>(C17+C18-10)/2</f>
        <v>50</v>
      </c>
      <c r="P17" s="491">
        <f t="shared" si="0"/>
        <v>0.375</v>
      </c>
      <c r="Q17" s="492">
        <f t="shared" si="1"/>
        <v>3.7499999999999999E-2</v>
      </c>
      <c r="R17" s="493">
        <f>SUM(Q$13:Q17)</f>
        <v>0.14899999999999999</v>
      </c>
      <c r="S17" s="494">
        <f t="shared" si="2"/>
        <v>0.29799999999999999</v>
      </c>
      <c r="T17" s="495" t="s">
        <v>151</v>
      </c>
      <c r="U17" s="496" t="s">
        <v>240</v>
      </c>
      <c r="V17" s="497">
        <v>520</v>
      </c>
      <c r="W17" s="429"/>
    </row>
    <row r="18" spans="1:25" s="431" customFormat="1" x14ac:dyDescent="0.3">
      <c r="A18" s="499">
        <v>345</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(C17+C18-10)/2</f>
        <v>50</v>
      </c>
      <c r="O18" s="490">
        <f>(C18+C25-G25)/2</f>
        <v>64.099999999999994</v>
      </c>
      <c r="P18" s="491">
        <f t="shared" si="0"/>
        <v>0.34499999999999997</v>
      </c>
      <c r="Q18" s="492">
        <f t="shared" si="1"/>
        <v>4.864499999999998E-2</v>
      </c>
      <c r="R18" s="493">
        <f>SUM(Q$13:Q18)</f>
        <v>0.19764499999999996</v>
      </c>
      <c r="S18" s="494">
        <f t="shared" si="2"/>
        <v>0.30833853354134161</v>
      </c>
      <c r="T18" s="500"/>
      <c r="U18" s="496" t="s">
        <v>241</v>
      </c>
      <c r="V18" s="497">
        <v>523</v>
      </c>
      <c r="W18" s="429"/>
    </row>
    <row r="19" spans="1:25" s="431" customFormat="1" ht="10.199999999999999" customHeight="1" x14ac:dyDescent="0.3">
      <c r="A19" s="499"/>
      <c r="B19" s="483"/>
      <c r="C19" s="471"/>
      <c r="D19" s="484"/>
      <c r="E19" s="485"/>
      <c r="F19" s="486"/>
      <c r="G19" s="487"/>
      <c r="H19" s="485"/>
      <c r="I19" s="485"/>
      <c r="J19" s="485"/>
      <c r="K19" s="485"/>
      <c r="L19" s="488"/>
      <c r="M19" s="471"/>
      <c r="N19" s="489"/>
      <c r="O19" s="490"/>
      <c r="P19" s="491"/>
      <c r="Q19" s="492"/>
      <c r="R19" s="493"/>
      <c r="S19" s="494"/>
      <c r="T19" s="500"/>
      <c r="U19" s="496" t="s">
        <v>263</v>
      </c>
      <c r="V19" s="497">
        <v>521</v>
      </c>
      <c r="W19" s="501"/>
    </row>
    <row r="20" spans="1:25" s="431" customFormat="1" x14ac:dyDescent="0.3">
      <c r="A20" s="499"/>
      <c r="B20" s="483"/>
      <c r="C20" s="471"/>
      <c r="D20" s="484"/>
      <c r="E20" s="485"/>
      <c r="F20" s="486"/>
      <c r="G20" s="487"/>
      <c r="H20" s="485"/>
      <c r="I20" s="485"/>
      <c r="J20" s="485"/>
      <c r="K20" s="485"/>
      <c r="L20" s="488"/>
      <c r="M20" s="471"/>
      <c r="N20" s="489"/>
      <c r="O20" s="490"/>
      <c r="P20" s="491"/>
      <c r="Q20" s="492"/>
      <c r="R20" s="493"/>
      <c r="S20" s="494"/>
      <c r="T20" s="495"/>
      <c r="U20" s="496"/>
      <c r="V20" s="497"/>
      <c r="W20" s="502"/>
    </row>
    <row r="21" spans="1:25" s="504" customFormat="1" x14ac:dyDescent="0.3">
      <c r="A21" s="499"/>
      <c r="B21" s="483"/>
      <c r="C21" s="471"/>
      <c r="D21" s="484"/>
      <c r="E21" s="485"/>
      <c r="F21" s="486"/>
      <c r="G21" s="487"/>
      <c r="H21" s="485"/>
      <c r="I21" s="485"/>
      <c r="J21" s="485"/>
      <c r="K21" s="485"/>
      <c r="L21" s="488"/>
      <c r="M21" s="471"/>
      <c r="N21" s="489"/>
      <c r="O21" s="490"/>
      <c r="P21" s="491"/>
      <c r="Q21" s="492"/>
      <c r="R21" s="493"/>
      <c r="S21" s="494"/>
      <c r="T21" s="503"/>
      <c r="U21" s="496"/>
      <c r="V21" s="497"/>
      <c r="W21" s="502"/>
    </row>
    <row r="22" spans="1:25" s="504" customFormat="1" x14ac:dyDescent="0.3">
      <c r="A22" s="499"/>
      <c r="B22" s="483"/>
      <c r="C22" s="471"/>
      <c r="D22" s="484"/>
      <c r="E22" s="485"/>
      <c r="F22" s="486"/>
      <c r="G22" s="487"/>
      <c r="H22" s="485"/>
      <c r="I22" s="485"/>
      <c r="J22" s="485"/>
      <c r="K22" s="485"/>
      <c r="L22" s="488"/>
      <c r="M22" s="471"/>
      <c r="N22" s="489"/>
      <c r="O22" s="490"/>
      <c r="P22" s="491"/>
      <c r="Q22" s="492"/>
      <c r="R22" s="493"/>
      <c r="S22" s="494"/>
      <c r="T22" s="505"/>
      <c r="U22" s="496"/>
      <c r="V22" s="506"/>
      <c r="W22" s="502"/>
    </row>
    <row r="23" spans="1:25" s="504" customFormat="1" ht="10.8" thickBot="1" x14ac:dyDescent="0.35">
      <c r="A23" s="507"/>
      <c r="B23" s="508"/>
      <c r="C23" s="509"/>
      <c r="D23" s="510"/>
      <c r="E23" s="509"/>
      <c r="F23" s="511"/>
      <c r="G23" s="512"/>
      <c r="H23" s="509"/>
      <c r="I23" s="509"/>
      <c r="J23" s="509"/>
      <c r="K23" s="509"/>
      <c r="L23" s="513"/>
      <c r="M23" s="509"/>
      <c r="N23" s="514"/>
      <c r="O23" s="515"/>
      <c r="P23" s="516"/>
      <c r="Q23" s="517"/>
      <c r="R23" s="518"/>
      <c r="S23" s="519"/>
      <c r="T23" s="520"/>
      <c r="U23" s="496"/>
      <c r="V23" s="521"/>
      <c r="W23" s="522"/>
    </row>
    <row r="24" spans="1:25" s="504" customFormat="1" x14ac:dyDescent="0.3">
      <c r="A24" s="523" t="s">
        <v>152</v>
      </c>
      <c r="B24" s="483"/>
      <c r="C24" s="471"/>
      <c r="D24" s="524"/>
      <c r="E24" s="471"/>
      <c r="F24" s="525"/>
      <c r="G24" s="526"/>
      <c r="H24" s="471"/>
      <c r="I24" s="471"/>
      <c r="J24" s="471"/>
      <c r="K24" s="471"/>
      <c r="L24" s="527"/>
      <c r="M24" s="471"/>
      <c r="N24" s="489"/>
      <c r="O24" s="490"/>
      <c r="P24" s="491"/>
      <c r="Q24" s="492"/>
      <c r="R24" s="493"/>
      <c r="S24" s="494"/>
      <c r="T24" s="505"/>
      <c r="U24" s="496"/>
      <c r="V24" s="521"/>
      <c r="W24" s="522"/>
    </row>
    <row r="25" spans="1:25" s="504" customFormat="1" x14ac:dyDescent="0.3">
      <c r="A25" s="499">
        <v>260</v>
      </c>
      <c r="B25" s="483">
        <v>0</v>
      </c>
      <c r="C25" s="471">
        <f>C26-D26</f>
        <v>91.2</v>
      </c>
      <c r="D25" s="528">
        <v>23</v>
      </c>
      <c r="E25" s="529"/>
      <c r="F25" s="530"/>
      <c r="G25" s="531">
        <f t="shared" ref="G25:G36" si="3">AVERAGE(D25:F25)</f>
        <v>23</v>
      </c>
      <c r="H25" s="529">
        <v>5.7</v>
      </c>
      <c r="I25" s="529"/>
      <c r="J25" s="529"/>
      <c r="K25" s="529"/>
      <c r="L25" s="532">
        <f>AVERAGE(H25:K25)</f>
        <v>5.7</v>
      </c>
      <c r="M25" s="471">
        <f>G25*    PI()* (L25/2)^2</f>
        <v>586.90448556201113</v>
      </c>
      <c r="N25" s="489">
        <f>(C18+C25-G25)/2</f>
        <v>64.099999999999994</v>
      </c>
      <c r="O25" s="490">
        <f>(C25+C26-G26)/2</f>
        <v>91.2</v>
      </c>
      <c r="P25" s="491">
        <f>(A25-B25)/M25</f>
        <v>0.44300223698414543</v>
      </c>
      <c r="Q25" s="492">
        <f>(P25*(O25-N25))/100</f>
        <v>0.12005360622270345</v>
      </c>
      <c r="R25" s="493">
        <f>SUM(Q$13:Q25)</f>
        <v>0.31769860622270341</v>
      </c>
      <c r="S25" s="494">
        <f>R25/O25*100</f>
        <v>0.34835373489331511</v>
      </c>
      <c r="T25" s="505"/>
      <c r="U25" s="496"/>
      <c r="V25" s="521"/>
      <c r="W25" s="522"/>
    </row>
    <row r="26" spans="1:25" s="504" customFormat="1" x14ac:dyDescent="0.3">
      <c r="A26" s="499">
        <v>210</v>
      </c>
      <c r="B26" s="483">
        <v>0</v>
      </c>
      <c r="C26" s="471">
        <f>C27-D27</f>
        <v>113.2</v>
      </c>
      <c r="D26" s="528">
        <v>22</v>
      </c>
      <c r="E26" s="529"/>
      <c r="F26" s="530"/>
      <c r="G26" s="531">
        <f t="shared" si="3"/>
        <v>22</v>
      </c>
      <c r="H26" s="529">
        <v>5.7</v>
      </c>
      <c r="I26" s="529"/>
      <c r="J26" s="529"/>
      <c r="K26" s="529"/>
      <c r="L26" s="532">
        <f>AVERAGE(H26:K26)</f>
        <v>5.7</v>
      </c>
      <c r="M26" s="471">
        <f>G26*    PI()* (L26/2)^2</f>
        <v>561.38689923322806</v>
      </c>
      <c r="N26" s="489">
        <f>(C25+C26-G26)/2</f>
        <v>91.2</v>
      </c>
      <c r="O26" s="490">
        <f>(C26+C27-G27)/2</f>
        <v>113.19999999999999</v>
      </c>
      <c r="P26" s="491">
        <f>(A26-B26)/M26</f>
        <v>0.3740735672436053</v>
      </c>
      <c r="Q26" s="492">
        <f>(P26*(O26-N26))/100</f>
        <v>8.2296184793593116E-2</v>
      </c>
      <c r="R26" s="493">
        <f>SUM(Q$13:Q26)</f>
        <v>0.39999479101629654</v>
      </c>
      <c r="S26" s="494">
        <f>R26/O26*100</f>
        <v>0.35335228888365422</v>
      </c>
      <c r="T26" s="505"/>
      <c r="U26" s="496"/>
      <c r="V26" s="497"/>
      <c r="W26" s="522"/>
    </row>
    <row r="27" spans="1:25" s="504" customFormat="1" x14ac:dyDescent="0.3">
      <c r="A27" s="499">
        <v>415</v>
      </c>
      <c r="B27" s="483">
        <v>0</v>
      </c>
      <c r="C27" s="471">
        <v>155</v>
      </c>
      <c r="D27" s="528">
        <v>41.8</v>
      </c>
      <c r="E27" s="529"/>
      <c r="F27" s="530"/>
      <c r="G27" s="531">
        <f t="shared" si="3"/>
        <v>41.8</v>
      </c>
      <c r="H27" s="529">
        <v>5.7</v>
      </c>
      <c r="I27" s="529"/>
      <c r="J27" s="529"/>
      <c r="K27" s="529"/>
      <c r="L27" s="532">
        <f>AVERAGE(H27:K27)</f>
        <v>5.7</v>
      </c>
      <c r="M27" s="471">
        <f>G27*    PI()* (L27/2)^2</f>
        <v>1066.6351085431334</v>
      </c>
      <c r="N27" s="489">
        <f>(C26+C27-G27)/2</f>
        <v>113.19999999999999</v>
      </c>
      <c r="O27" s="490">
        <f>(C27+C28-G28)/2</f>
        <v>155.70000000000002</v>
      </c>
      <c r="P27" s="491">
        <f>(A27-B27)/M27</f>
        <v>0.38907401104284761</v>
      </c>
      <c r="Q27" s="492">
        <f>(P27*(O27-N27))/100</f>
        <v>0.16535645469321036</v>
      </c>
      <c r="R27" s="493">
        <f>SUM(Q$13:Q27)</f>
        <v>0.5653512457095069</v>
      </c>
      <c r="S27" s="494">
        <f>R27/O27*100</f>
        <v>0.3631029195308329</v>
      </c>
      <c r="T27" s="505"/>
      <c r="U27" s="496"/>
      <c r="V27" s="497"/>
      <c r="W27" s="522"/>
    </row>
    <row r="28" spans="1:25" s="504" customFormat="1" x14ac:dyDescent="0.3">
      <c r="A28" s="499">
        <v>480</v>
      </c>
      <c r="B28" s="483">
        <v>0</v>
      </c>
      <c r="C28" s="471">
        <f>C29-D29</f>
        <v>201.3</v>
      </c>
      <c r="D28" s="528">
        <v>44.9</v>
      </c>
      <c r="E28" s="529"/>
      <c r="F28" s="530"/>
      <c r="G28" s="531">
        <f t="shared" si="3"/>
        <v>44.9</v>
      </c>
      <c r="H28" s="529">
        <v>5.7</v>
      </c>
      <c r="I28" s="529"/>
      <c r="J28" s="529"/>
      <c r="K28" s="529"/>
      <c r="L28" s="532">
        <f>AVERAGE(H28:K28)</f>
        <v>5.7</v>
      </c>
      <c r="M28" s="471">
        <f>G28*    PI()* (L28/2)^2</f>
        <v>1145.739626162361</v>
      </c>
      <c r="N28" s="489">
        <f>(C27+C28-G28)/2</f>
        <v>155.70000000000002</v>
      </c>
      <c r="O28" s="490">
        <f>(C28+C29-G29)/2</f>
        <v>201.3</v>
      </c>
      <c r="P28" s="491">
        <f>(A28-B28)/M28</f>
        <v>0.41894335243318181</v>
      </c>
      <c r="Q28" s="492">
        <f>(P28*(O28-N28))/100</f>
        <v>0.19103816870953089</v>
      </c>
      <c r="R28" s="493">
        <f>SUM(Q$13:Q28)</f>
        <v>0.75638941441903773</v>
      </c>
      <c r="S28" s="494">
        <f>R28/O28*100</f>
        <v>0.37575231714805646</v>
      </c>
      <c r="T28" s="505"/>
      <c r="U28" s="496"/>
      <c r="V28" s="497"/>
      <c r="W28" s="522"/>
    </row>
    <row r="29" spans="1:25" x14ac:dyDescent="0.2">
      <c r="A29" s="499">
        <v>405</v>
      </c>
      <c r="B29" s="483">
        <v>0</v>
      </c>
      <c r="C29" s="471">
        <v>236</v>
      </c>
      <c r="D29" s="528">
        <v>34.700000000000003</v>
      </c>
      <c r="E29" s="529"/>
      <c r="F29" s="530"/>
      <c r="G29" s="531">
        <f t="shared" si="3"/>
        <v>34.700000000000003</v>
      </c>
      <c r="H29" s="529">
        <v>5.7</v>
      </c>
      <c r="I29" s="529"/>
      <c r="J29" s="529"/>
      <c r="K29" s="529"/>
      <c r="L29" s="532">
        <f t="shared" ref="L29:L36" si="4">AVERAGE(H29:K29)</f>
        <v>5.7</v>
      </c>
      <c r="M29" s="471">
        <f t="shared" ref="M29:M36" si="5">G29*    PI()* (L29/2)^2</f>
        <v>885.46024560877345</v>
      </c>
      <c r="N29" s="489">
        <f t="shared" ref="N29:N36" si="6">(C28+C29-G29)/2</f>
        <v>201.3</v>
      </c>
      <c r="O29" s="490">
        <f t="shared" ref="O29:O35" si="7">(C29+C30-G30)/2</f>
        <v>235.55</v>
      </c>
      <c r="P29" s="491">
        <f t="shared" ref="P29:P36" si="8">(A29-B29)/M29</f>
        <v>0.45738925266097469</v>
      </c>
      <c r="Q29" s="492">
        <f t="shared" ref="Q29:Q36" si="9">(P29*(O29-N29))/100</f>
        <v>0.15665581903638384</v>
      </c>
      <c r="R29" s="493">
        <f>SUM(Q$13:Q29)</f>
        <v>0.91304523345542155</v>
      </c>
      <c r="S29" s="494">
        <f t="shared" ref="S29:S36" si="10">R29/O29*100</f>
        <v>0.38762268454910698</v>
      </c>
      <c r="T29" s="505"/>
      <c r="U29" s="496"/>
      <c r="V29" s="497"/>
      <c r="W29" s="522"/>
      <c r="X29" s="504"/>
      <c r="Y29" s="504"/>
    </row>
    <row r="30" spans="1:25" x14ac:dyDescent="0.2">
      <c r="A30" s="499">
        <v>455</v>
      </c>
      <c r="B30" s="483">
        <v>0</v>
      </c>
      <c r="C30" s="471">
        <f>C31-D31</f>
        <v>274.5</v>
      </c>
      <c r="D30" s="528">
        <v>39.4</v>
      </c>
      <c r="E30" s="529"/>
      <c r="F30" s="530"/>
      <c r="G30" s="531">
        <f t="shared" si="3"/>
        <v>39.4</v>
      </c>
      <c r="H30" s="529">
        <v>5.7</v>
      </c>
      <c r="I30" s="529"/>
      <c r="J30" s="529"/>
      <c r="K30" s="529"/>
      <c r="L30" s="532">
        <f t="shared" si="4"/>
        <v>5.7</v>
      </c>
      <c r="M30" s="471">
        <f t="shared" si="5"/>
        <v>1005.3929013540539</v>
      </c>
      <c r="N30" s="489">
        <f t="shared" si="6"/>
        <v>235.55</v>
      </c>
      <c r="O30" s="490">
        <f t="shared" si="7"/>
        <v>274.5</v>
      </c>
      <c r="P30" s="491">
        <f t="shared" si="8"/>
        <v>0.45255939184294036</v>
      </c>
      <c r="Q30" s="492">
        <f t="shared" si="9"/>
        <v>0.17627188312282524</v>
      </c>
      <c r="R30" s="493">
        <f>SUM(Q$13:Q30)</f>
        <v>1.0893171165782467</v>
      </c>
      <c r="S30" s="494">
        <f t="shared" si="10"/>
        <v>0.39683683664052705</v>
      </c>
      <c r="T30" s="505"/>
      <c r="U30" s="496"/>
      <c r="V30" s="497"/>
      <c r="W30" s="522"/>
      <c r="X30" s="504"/>
      <c r="Y30" s="504"/>
    </row>
    <row r="31" spans="1:25" x14ac:dyDescent="0.2">
      <c r="A31" s="499">
        <v>585</v>
      </c>
      <c r="B31" s="483">
        <v>0</v>
      </c>
      <c r="C31" s="471">
        <v>322</v>
      </c>
      <c r="D31" s="528">
        <v>47.5</v>
      </c>
      <c r="E31" s="529"/>
      <c r="F31" s="530"/>
      <c r="G31" s="531">
        <f t="shared" si="3"/>
        <v>47.5</v>
      </c>
      <c r="H31" s="529">
        <v>5.7</v>
      </c>
      <c r="I31" s="529"/>
      <c r="J31" s="529"/>
      <c r="K31" s="529"/>
      <c r="L31" s="532">
        <f t="shared" si="4"/>
        <v>5.7</v>
      </c>
      <c r="M31" s="471">
        <f t="shared" si="5"/>
        <v>1212.085350617197</v>
      </c>
      <c r="N31" s="489">
        <f t="shared" si="6"/>
        <v>274.5</v>
      </c>
      <c r="O31" s="490">
        <f t="shared" si="7"/>
        <v>321.09999999999997</v>
      </c>
      <c r="P31" s="491">
        <f t="shared" si="8"/>
        <v>0.4826392792406215</v>
      </c>
      <c r="Q31" s="492">
        <f t="shared" si="9"/>
        <v>0.22490990412612943</v>
      </c>
      <c r="R31" s="493">
        <f>SUM(Q$13:Q31)</f>
        <v>1.3142270207043762</v>
      </c>
      <c r="S31" s="494">
        <f t="shared" si="10"/>
        <v>0.40928901298797149</v>
      </c>
      <c r="T31" s="505"/>
      <c r="U31" s="496"/>
      <c r="V31" s="497"/>
      <c r="W31" s="522"/>
      <c r="X31" s="504"/>
      <c r="Y31" s="504"/>
    </row>
    <row r="32" spans="1:25" x14ac:dyDescent="0.2">
      <c r="A32" s="499">
        <v>575</v>
      </c>
      <c r="B32" s="483">
        <v>0</v>
      </c>
      <c r="C32" s="471">
        <f>C33-D33</f>
        <v>365.4</v>
      </c>
      <c r="D32" s="528">
        <v>45.2</v>
      </c>
      <c r="E32" s="529"/>
      <c r="F32" s="530"/>
      <c r="G32" s="531">
        <f t="shared" si="3"/>
        <v>45.2</v>
      </c>
      <c r="H32" s="529">
        <v>5.7</v>
      </c>
      <c r="I32" s="529"/>
      <c r="J32" s="529"/>
      <c r="K32" s="529"/>
      <c r="L32" s="532">
        <f t="shared" si="4"/>
        <v>5.7</v>
      </c>
      <c r="M32" s="471">
        <f t="shared" si="5"/>
        <v>1153.3949020609959</v>
      </c>
      <c r="N32" s="489">
        <f t="shared" si="6"/>
        <v>321.09999999999997</v>
      </c>
      <c r="O32" s="490">
        <f t="shared" si="7"/>
        <v>365.4</v>
      </c>
      <c r="P32" s="491">
        <f t="shared" si="8"/>
        <v>0.49852830021403355</v>
      </c>
      <c r="Q32" s="492">
        <f t="shared" si="9"/>
        <v>0.22084803699481692</v>
      </c>
      <c r="R32" s="493">
        <f>SUM(Q$13:Q32)</f>
        <v>1.5350750576991932</v>
      </c>
      <c r="S32" s="494">
        <f t="shared" si="10"/>
        <v>0.42010811650224228</v>
      </c>
      <c r="T32" s="505"/>
      <c r="U32" s="496"/>
      <c r="V32" s="497"/>
      <c r="W32" s="522"/>
      <c r="X32" s="504"/>
      <c r="Y32" s="504"/>
    </row>
    <row r="33" spans="1:26" x14ac:dyDescent="0.2">
      <c r="A33" s="499">
        <v>490</v>
      </c>
      <c r="B33" s="483">
        <v>0</v>
      </c>
      <c r="C33" s="471">
        <v>404</v>
      </c>
      <c r="D33" s="528">
        <v>38.6</v>
      </c>
      <c r="E33" s="529"/>
      <c r="F33" s="530"/>
      <c r="G33" s="531">
        <f t="shared" si="3"/>
        <v>38.6</v>
      </c>
      <c r="H33" s="529">
        <v>5.7</v>
      </c>
      <c r="I33" s="529"/>
      <c r="J33" s="529"/>
      <c r="K33" s="529"/>
      <c r="L33" s="532">
        <f t="shared" si="4"/>
        <v>5.7</v>
      </c>
      <c r="M33" s="471">
        <f t="shared" si="5"/>
        <v>984.97883229102752</v>
      </c>
      <c r="N33" s="489">
        <f t="shared" si="6"/>
        <v>365.4</v>
      </c>
      <c r="O33" s="490">
        <f t="shared" si="7"/>
        <v>405.15</v>
      </c>
      <c r="P33" s="491">
        <f t="shared" si="8"/>
        <v>0.49747261965039041</v>
      </c>
      <c r="Q33" s="492">
        <f t="shared" si="9"/>
        <v>0.19774536631103018</v>
      </c>
      <c r="R33" s="493">
        <f>SUM(Q$13:Q33)</f>
        <v>1.7328204240102234</v>
      </c>
      <c r="S33" s="494">
        <f t="shared" si="10"/>
        <v>0.42769848796994292</v>
      </c>
      <c r="T33" s="505"/>
      <c r="U33" s="496"/>
      <c r="V33" s="497"/>
      <c r="W33" s="522"/>
      <c r="X33" s="504"/>
      <c r="Y33" s="504"/>
    </row>
    <row r="34" spans="1:26" x14ac:dyDescent="0.2">
      <c r="A34" s="499">
        <v>520</v>
      </c>
      <c r="B34" s="483">
        <v>0</v>
      </c>
      <c r="C34" s="471">
        <f>C35-D35</f>
        <v>446.5</v>
      </c>
      <c r="D34" s="528">
        <v>40.200000000000003</v>
      </c>
      <c r="E34" s="529"/>
      <c r="F34" s="530"/>
      <c r="G34" s="531">
        <f t="shared" si="3"/>
        <v>40.200000000000003</v>
      </c>
      <c r="H34" s="529">
        <v>5.7</v>
      </c>
      <c r="I34" s="529"/>
      <c r="J34" s="529"/>
      <c r="K34" s="529"/>
      <c r="L34" s="532">
        <f t="shared" si="4"/>
        <v>5.7</v>
      </c>
      <c r="M34" s="471">
        <f t="shared" si="5"/>
        <v>1025.8069704170805</v>
      </c>
      <c r="N34" s="489">
        <f t="shared" si="6"/>
        <v>405.15</v>
      </c>
      <c r="O34" s="490">
        <f t="shared" si="7"/>
        <v>446.5</v>
      </c>
      <c r="P34" s="491">
        <f t="shared" si="8"/>
        <v>0.50691798261867371</v>
      </c>
      <c r="Q34" s="492">
        <f t="shared" si="9"/>
        <v>0.20961058581282171</v>
      </c>
      <c r="R34" s="493">
        <f>SUM(Q$13:Q34)</f>
        <v>1.9424310098230451</v>
      </c>
      <c r="S34" s="494">
        <f t="shared" si="10"/>
        <v>0.43503494060986453</v>
      </c>
      <c r="T34" s="505"/>
      <c r="U34" s="496"/>
      <c r="V34" s="497"/>
      <c r="W34" s="534"/>
    </row>
    <row r="35" spans="1:26" x14ac:dyDescent="0.2">
      <c r="A35" s="499">
        <v>520</v>
      </c>
      <c r="B35" s="483">
        <v>0</v>
      </c>
      <c r="C35" s="471">
        <v>486</v>
      </c>
      <c r="D35" s="528">
        <v>39.5</v>
      </c>
      <c r="E35" s="529"/>
      <c r="F35" s="530"/>
      <c r="G35" s="531">
        <f t="shared" si="3"/>
        <v>39.5</v>
      </c>
      <c r="H35" s="529">
        <v>5.7</v>
      </c>
      <c r="I35" s="529"/>
      <c r="J35" s="529"/>
      <c r="K35" s="529"/>
      <c r="L35" s="532">
        <f t="shared" si="4"/>
        <v>5.7</v>
      </c>
      <c r="M35" s="471">
        <f t="shared" si="5"/>
        <v>1007.9446599869324</v>
      </c>
      <c r="N35" s="489">
        <f t="shared" si="6"/>
        <v>446.5</v>
      </c>
      <c r="O35" s="490">
        <f t="shared" si="7"/>
        <v>487</v>
      </c>
      <c r="P35" s="491">
        <f t="shared" si="8"/>
        <v>0.51590133927267556</v>
      </c>
      <c r="Q35" s="492">
        <f t="shared" si="9"/>
        <v>0.2089400424054336</v>
      </c>
      <c r="R35" s="493">
        <f>SUM(Q$13:Q35)</f>
        <v>2.1513710522284786</v>
      </c>
      <c r="S35" s="494">
        <f t="shared" si="10"/>
        <v>0.44175996965677178</v>
      </c>
      <c r="T35" s="505"/>
      <c r="U35" s="496"/>
      <c r="V35" s="497"/>
      <c r="W35" s="535"/>
      <c r="X35" s="536"/>
      <c r="Y35" s="537"/>
      <c r="Z35" s="536"/>
    </row>
    <row r="36" spans="1:26" x14ac:dyDescent="0.2">
      <c r="A36" s="499">
        <v>500</v>
      </c>
      <c r="B36" s="483">
        <v>0</v>
      </c>
      <c r="C36" s="471">
        <v>526</v>
      </c>
      <c r="D36" s="528">
        <v>38</v>
      </c>
      <c r="E36" s="529"/>
      <c r="F36" s="530"/>
      <c r="G36" s="531">
        <f t="shared" si="3"/>
        <v>38</v>
      </c>
      <c r="H36" s="529">
        <v>5.7</v>
      </c>
      <c r="I36" s="529"/>
      <c r="J36" s="529"/>
      <c r="K36" s="529"/>
      <c r="L36" s="532">
        <f t="shared" si="4"/>
        <v>5.7</v>
      </c>
      <c r="M36" s="471">
        <f t="shared" si="5"/>
        <v>969.66828049375761</v>
      </c>
      <c r="N36" s="489">
        <f t="shared" si="6"/>
        <v>487</v>
      </c>
      <c r="O36" s="490">
        <v>526</v>
      </c>
      <c r="P36" s="491">
        <f t="shared" si="8"/>
        <v>0.51564025559895466</v>
      </c>
      <c r="Q36" s="492">
        <f t="shared" si="9"/>
        <v>0.20109969968359231</v>
      </c>
      <c r="R36" s="493">
        <f>SUM(Q$13:Q36)</f>
        <v>2.3524707519120707</v>
      </c>
      <c r="S36" s="494">
        <f t="shared" si="10"/>
        <v>0.44723778553461419</v>
      </c>
      <c r="T36" s="505" t="s">
        <v>239</v>
      </c>
      <c r="U36" s="496"/>
      <c r="V36" s="497"/>
      <c r="W36" s="535"/>
      <c r="X36" s="536"/>
      <c r="Y36" s="538"/>
      <c r="Z36" s="536"/>
    </row>
    <row r="37" spans="1:26" x14ac:dyDescent="0.2">
      <c r="A37" s="499"/>
      <c r="B37" s="483"/>
      <c r="C37" s="471"/>
      <c r="D37" s="528"/>
      <c r="E37" s="529"/>
      <c r="F37" s="530"/>
      <c r="G37" s="531"/>
      <c r="H37" s="529"/>
      <c r="I37" s="529"/>
      <c r="J37" s="529"/>
      <c r="K37" s="529"/>
      <c r="L37" s="532"/>
      <c r="M37" s="471"/>
      <c r="N37" s="489"/>
      <c r="O37" s="490"/>
      <c r="P37" s="491"/>
      <c r="Q37" s="492"/>
      <c r="R37" s="493"/>
      <c r="S37" s="494"/>
      <c r="T37" s="505"/>
      <c r="U37" s="496"/>
      <c r="V37" s="497"/>
      <c r="W37" s="539"/>
      <c r="X37" s="536"/>
      <c r="Y37" s="536"/>
      <c r="Z37" s="536"/>
    </row>
    <row r="38" spans="1:26" x14ac:dyDescent="0.2">
      <c r="A38" s="499"/>
      <c r="B38" s="483"/>
      <c r="C38" s="471"/>
      <c r="D38" s="528"/>
      <c r="E38" s="529"/>
      <c r="F38" s="530"/>
      <c r="G38" s="531"/>
      <c r="H38" s="529"/>
      <c r="I38" s="529"/>
      <c r="J38" s="529"/>
      <c r="K38" s="529"/>
      <c r="L38" s="532"/>
      <c r="M38" s="471"/>
      <c r="N38" s="489"/>
      <c r="O38" s="490"/>
      <c r="P38" s="491"/>
      <c r="Q38" s="492"/>
      <c r="R38" s="493"/>
      <c r="S38" s="494"/>
      <c r="T38" s="505"/>
      <c r="U38" s="496"/>
      <c r="V38" s="497"/>
      <c r="W38" s="540"/>
      <c r="X38" s="541"/>
    </row>
    <row r="39" spans="1:26" x14ac:dyDescent="0.2">
      <c r="A39" s="499"/>
      <c r="B39" s="483"/>
      <c r="C39" s="471"/>
      <c r="D39" s="528"/>
      <c r="E39" s="529"/>
      <c r="F39" s="530"/>
      <c r="G39" s="531"/>
      <c r="H39" s="529"/>
      <c r="I39" s="529"/>
      <c r="J39" s="529"/>
      <c r="K39" s="529"/>
      <c r="L39" s="532"/>
      <c r="M39" s="471"/>
      <c r="N39" s="489"/>
      <c r="O39" s="490"/>
      <c r="P39" s="491"/>
      <c r="Q39" s="492"/>
      <c r="R39" s="493"/>
      <c r="S39" s="494"/>
      <c r="T39" s="505"/>
      <c r="U39" s="496"/>
      <c r="V39" s="497"/>
      <c r="W39" s="541"/>
      <c r="X39" s="541"/>
    </row>
    <row r="40" spans="1:26" x14ac:dyDescent="0.2">
      <c r="A40" s="499"/>
      <c r="B40" s="483"/>
      <c r="C40" s="471"/>
      <c r="D40" s="528"/>
      <c r="E40" s="529"/>
      <c r="F40" s="530"/>
      <c r="G40" s="531"/>
      <c r="H40" s="529"/>
      <c r="I40" s="529"/>
      <c r="J40" s="529"/>
      <c r="K40" s="529"/>
      <c r="L40" s="532"/>
      <c r="M40" s="471"/>
      <c r="N40" s="489"/>
      <c r="O40" s="490"/>
      <c r="P40" s="491"/>
      <c r="Q40" s="492"/>
      <c r="R40" s="493"/>
      <c r="S40" s="494"/>
      <c r="T40" s="505"/>
      <c r="U40" s="496"/>
      <c r="V40" s="497"/>
    </row>
    <row r="41" spans="1:26" x14ac:dyDescent="0.2">
      <c r="A41" s="499"/>
      <c r="B41" s="483"/>
      <c r="C41" s="471"/>
      <c r="D41" s="528"/>
      <c r="E41" s="529"/>
      <c r="F41" s="530"/>
      <c r="G41" s="531"/>
      <c r="H41" s="529"/>
      <c r="I41" s="529"/>
      <c r="J41" s="529"/>
      <c r="K41" s="529"/>
      <c r="L41" s="532"/>
      <c r="M41" s="471"/>
      <c r="N41" s="489"/>
      <c r="O41" s="490"/>
      <c r="P41" s="491"/>
      <c r="Q41" s="492"/>
      <c r="R41" s="493"/>
      <c r="S41" s="494"/>
      <c r="T41" s="505"/>
      <c r="U41" s="496"/>
      <c r="V41" s="497"/>
    </row>
    <row r="42" spans="1:26" x14ac:dyDescent="0.2">
      <c r="A42" s="499"/>
      <c r="B42" s="483"/>
      <c r="C42" s="471"/>
      <c r="D42" s="528"/>
      <c r="E42" s="529"/>
      <c r="F42" s="530"/>
      <c r="G42" s="531"/>
      <c r="H42" s="529"/>
      <c r="I42" s="529"/>
      <c r="J42" s="529"/>
      <c r="K42" s="529"/>
      <c r="L42" s="532"/>
      <c r="M42" s="471"/>
      <c r="N42" s="489"/>
      <c r="O42" s="490"/>
      <c r="P42" s="491"/>
      <c r="Q42" s="492"/>
      <c r="R42" s="493"/>
      <c r="S42" s="494"/>
      <c r="T42" s="505"/>
      <c r="U42" s="496"/>
      <c r="V42" s="497"/>
    </row>
    <row r="43" spans="1:26" x14ac:dyDescent="0.2">
      <c r="A43" s="499"/>
      <c r="B43" s="483"/>
      <c r="C43" s="471"/>
      <c r="D43" s="528"/>
      <c r="E43" s="529"/>
      <c r="F43" s="530"/>
      <c r="G43" s="531"/>
      <c r="H43" s="529"/>
      <c r="I43" s="529"/>
      <c r="J43" s="529"/>
      <c r="K43" s="529"/>
      <c r="L43" s="532"/>
      <c r="M43" s="471"/>
      <c r="N43" s="489"/>
      <c r="O43" s="490"/>
      <c r="P43" s="491"/>
      <c r="Q43" s="492"/>
      <c r="R43" s="493"/>
      <c r="S43" s="494"/>
      <c r="T43" s="505"/>
      <c r="U43" s="496"/>
      <c r="V43" s="497"/>
    </row>
    <row r="44" spans="1:26" x14ac:dyDescent="0.2">
      <c r="A44" s="499"/>
      <c r="B44" s="483"/>
      <c r="C44" s="471"/>
      <c r="D44" s="528"/>
      <c r="E44" s="529"/>
      <c r="F44" s="530"/>
      <c r="G44" s="531"/>
      <c r="H44" s="529"/>
      <c r="I44" s="529"/>
      <c r="J44" s="529"/>
      <c r="K44" s="529"/>
      <c r="L44" s="532"/>
      <c r="M44" s="471"/>
      <c r="N44" s="489"/>
      <c r="O44" s="490"/>
      <c r="P44" s="491"/>
      <c r="Q44" s="492"/>
      <c r="R44" s="493"/>
      <c r="S44" s="494"/>
      <c r="T44" s="505"/>
      <c r="U44" s="496"/>
      <c r="V44" s="497"/>
    </row>
    <row r="45" spans="1:26" x14ac:dyDescent="0.2">
      <c r="A45" s="499"/>
      <c r="B45" s="483"/>
      <c r="C45" s="471"/>
      <c r="D45" s="528"/>
      <c r="E45" s="529"/>
      <c r="F45" s="530"/>
      <c r="G45" s="531"/>
      <c r="H45" s="529"/>
      <c r="I45" s="529"/>
      <c r="J45" s="529"/>
      <c r="K45" s="529"/>
      <c r="L45" s="532"/>
      <c r="M45" s="471"/>
      <c r="N45" s="489"/>
      <c r="O45" s="490"/>
      <c r="P45" s="491"/>
      <c r="Q45" s="492"/>
      <c r="R45" s="493"/>
      <c r="S45" s="494"/>
      <c r="T45" s="505"/>
      <c r="U45" s="496"/>
      <c r="V45" s="497"/>
    </row>
    <row r="46" spans="1:26" x14ac:dyDescent="0.2">
      <c r="A46" s="499"/>
      <c r="B46" s="483"/>
      <c r="C46" s="471"/>
      <c r="D46" s="528"/>
      <c r="E46" s="529"/>
      <c r="F46" s="530"/>
      <c r="G46" s="531"/>
      <c r="H46" s="529"/>
      <c r="I46" s="529"/>
      <c r="J46" s="529"/>
      <c r="K46" s="529"/>
      <c r="L46" s="532"/>
      <c r="M46" s="471"/>
      <c r="N46" s="489"/>
      <c r="O46" s="490"/>
      <c r="P46" s="491"/>
      <c r="Q46" s="492"/>
      <c r="R46" s="493"/>
      <c r="S46" s="494"/>
      <c r="T46" s="505"/>
      <c r="U46" s="496"/>
      <c r="V46" s="497"/>
    </row>
    <row r="47" spans="1:26" x14ac:dyDescent="0.2">
      <c r="A47" s="499"/>
      <c r="B47" s="483"/>
      <c r="C47" s="471"/>
      <c r="D47" s="528"/>
      <c r="E47" s="529"/>
      <c r="F47" s="530"/>
      <c r="G47" s="531"/>
      <c r="H47" s="529"/>
      <c r="I47" s="529"/>
      <c r="J47" s="529"/>
      <c r="K47" s="529"/>
      <c r="L47" s="532"/>
      <c r="M47" s="471"/>
      <c r="N47" s="489"/>
      <c r="O47" s="490"/>
      <c r="P47" s="491"/>
      <c r="Q47" s="492"/>
      <c r="R47" s="493"/>
      <c r="S47" s="494"/>
      <c r="T47" s="505"/>
      <c r="U47" s="496"/>
      <c r="V47" s="497"/>
    </row>
    <row r="48" spans="1:26" x14ac:dyDescent="0.2">
      <c r="A48" s="499"/>
      <c r="B48" s="483"/>
      <c r="C48" s="471"/>
      <c r="D48" s="528"/>
      <c r="E48" s="529"/>
      <c r="F48" s="530"/>
      <c r="G48" s="531"/>
      <c r="H48" s="529"/>
      <c r="I48" s="529"/>
      <c r="J48" s="529"/>
      <c r="K48" s="529"/>
      <c r="L48" s="532"/>
      <c r="M48" s="471"/>
      <c r="N48" s="489"/>
      <c r="O48" s="490"/>
      <c r="P48" s="491"/>
      <c r="Q48" s="492"/>
      <c r="R48" s="493"/>
      <c r="S48" s="494"/>
      <c r="T48" s="505"/>
      <c r="U48" s="496"/>
      <c r="V48" s="497"/>
    </row>
    <row r="49" spans="1:26" x14ac:dyDescent="0.2">
      <c r="A49" s="499"/>
      <c r="B49" s="483"/>
      <c r="C49" s="471"/>
      <c r="D49" s="528"/>
      <c r="E49" s="529"/>
      <c r="F49" s="530"/>
      <c r="G49" s="531"/>
      <c r="H49" s="529"/>
      <c r="I49" s="529"/>
      <c r="J49" s="529"/>
      <c r="K49" s="529"/>
      <c r="L49" s="532"/>
      <c r="M49" s="471"/>
      <c r="N49" s="489"/>
      <c r="O49" s="490"/>
      <c r="P49" s="491"/>
      <c r="Q49" s="492"/>
      <c r="R49" s="493"/>
      <c r="S49" s="494"/>
      <c r="T49" s="505"/>
      <c r="U49" s="496"/>
      <c r="V49" s="497"/>
    </row>
    <row r="50" spans="1:26" x14ac:dyDescent="0.2">
      <c r="A50" s="499"/>
      <c r="B50" s="483"/>
      <c r="C50" s="471"/>
      <c r="D50" s="528"/>
      <c r="E50" s="529"/>
      <c r="F50" s="530"/>
      <c r="G50" s="531"/>
      <c r="H50" s="529"/>
      <c r="I50" s="529"/>
      <c r="J50" s="529"/>
      <c r="K50" s="529"/>
      <c r="L50" s="532"/>
      <c r="M50" s="471"/>
      <c r="N50" s="489"/>
      <c r="O50" s="490"/>
      <c r="P50" s="491"/>
      <c r="Q50" s="492"/>
      <c r="R50" s="493"/>
      <c r="S50" s="494"/>
      <c r="T50" s="505"/>
      <c r="U50" s="496"/>
      <c r="V50" s="497"/>
    </row>
    <row r="51" spans="1:26" x14ac:dyDescent="0.2">
      <c r="A51" s="499"/>
      <c r="B51" s="483"/>
      <c r="C51" s="471"/>
      <c r="D51" s="528"/>
      <c r="E51" s="529"/>
      <c r="F51" s="530"/>
      <c r="G51" s="531"/>
      <c r="H51" s="529"/>
      <c r="I51" s="529"/>
      <c r="J51" s="529"/>
      <c r="K51" s="529"/>
      <c r="L51" s="532"/>
      <c r="M51" s="471"/>
      <c r="N51" s="489"/>
      <c r="O51" s="490"/>
      <c r="P51" s="491"/>
      <c r="Q51" s="492"/>
      <c r="R51" s="493"/>
      <c r="S51" s="494"/>
      <c r="T51" s="505"/>
      <c r="U51" s="496"/>
      <c r="V51" s="497"/>
    </row>
    <row r="52" spans="1:26" ht="10.8" thickBot="1" x14ac:dyDescent="0.25">
      <c r="A52" s="499"/>
      <c r="B52" s="483"/>
      <c r="C52" s="471"/>
      <c r="D52" s="528"/>
      <c r="E52" s="529"/>
      <c r="F52" s="530"/>
      <c r="G52" s="531"/>
      <c r="H52" s="529"/>
      <c r="I52" s="529"/>
      <c r="J52" s="529"/>
      <c r="K52" s="529"/>
      <c r="L52" s="532"/>
      <c r="M52" s="471"/>
      <c r="N52" s="489"/>
      <c r="O52" s="490"/>
      <c r="P52" s="491"/>
      <c r="Q52" s="492"/>
      <c r="R52" s="493"/>
      <c r="S52" s="494"/>
      <c r="T52" s="505"/>
      <c r="U52" s="496"/>
      <c r="V52" s="542"/>
    </row>
    <row r="53" spans="1:26" x14ac:dyDescent="0.2">
      <c r="A53" s="499"/>
      <c r="B53" s="483"/>
      <c r="C53" s="471"/>
      <c r="D53" s="528"/>
      <c r="E53" s="529"/>
      <c r="F53" s="530"/>
      <c r="G53" s="531"/>
      <c r="H53" s="529"/>
      <c r="I53" s="529"/>
      <c r="J53" s="529"/>
      <c r="K53" s="529"/>
      <c r="L53" s="532"/>
      <c r="M53" s="471"/>
      <c r="N53" s="489"/>
      <c r="O53" s="490"/>
      <c r="P53" s="491"/>
      <c r="Q53" s="492"/>
      <c r="R53" s="493"/>
      <c r="S53" s="494"/>
      <c r="T53" s="505"/>
      <c r="U53" s="543" t="s">
        <v>153</v>
      </c>
      <c r="V53" s="544">
        <f>AVERAGE(V12:V52)</f>
        <v>513.625</v>
      </c>
    </row>
    <row r="54" spans="1:26" x14ac:dyDescent="0.2">
      <c r="A54" s="499"/>
      <c r="B54" s="483"/>
      <c r="C54" s="471"/>
      <c r="D54" s="528"/>
      <c r="E54" s="529"/>
      <c r="F54" s="530"/>
      <c r="G54" s="531"/>
      <c r="H54" s="529"/>
      <c r="I54" s="529"/>
      <c r="J54" s="529"/>
      <c r="K54" s="529"/>
      <c r="L54" s="532"/>
      <c r="M54" s="471"/>
      <c r="N54" s="489"/>
      <c r="O54" s="490"/>
      <c r="P54" s="491"/>
      <c r="Q54" s="492"/>
      <c r="R54" s="493"/>
      <c r="S54" s="494"/>
      <c r="T54" s="505"/>
      <c r="U54" s="370" t="s">
        <v>154</v>
      </c>
      <c r="V54" s="542">
        <f>STDEV(V12:V52)</f>
        <v>10.487237141265703</v>
      </c>
      <c r="W54" s="545"/>
      <c r="X54" s="545"/>
    </row>
    <row r="55" spans="1:26" x14ac:dyDescent="0.2">
      <c r="A55" s="546" t="s">
        <v>155</v>
      </c>
      <c r="B55" s="547"/>
      <c r="C55" s="548"/>
      <c r="D55" s="548"/>
      <c r="E55" s="548"/>
      <c r="F55" s="548"/>
      <c r="G55" s="549"/>
      <c r="H55" s="548"/>
      <c r="I55" s="548"/>
      <c r="J55" s="548"/>
      <c r="K55" s="548"/>
      <c r="L55" s="550"/>
      <c r="M55" s="548"/>
      <c r="N55" s="551"/>
      <c r="O55" s="552"/>
      <c r="P55" s="553"/>
      <c r="Q55" s="554"/>
      <c r="R55" s="555"/>
      <c r="S55" s="556"/>
      <c r="T55" s="557"/>
      <c r="U55" s="370" t="s">
        <v>156</v>
      </c>
      <c r="V55" s="542">
        <f>V54/SQRT(COUNT(V12:V51))</f>
        <v>3.7077982492502009</v>
      </c>
      <c r="W55" s="540"/>
      <c r="X55" s="545"/>
      <c r="Y55" s="545"/>
      <c r="Z55" s="545"/>
    </row>
    <row r="56" spans="1:26" x14ac:dyDescent="0.2">
      <c r="A56" s="558"/>
      <c r="B56" s="559"/>
      <c r="C56" s="560"/>
      <c r="D56" s="560"/>
      <c r="E56" s="560"/>
      <c r="F56" s="560"/>
      <c r="G56" s="561"/>
      <c r="H56" s="560"/>
      <c r="I56" s="560"/>
      <c r="J56" s="560"/>
      <c r="K56" s="560"/>
      <c r="L56" s="562"/>
      <c r="M56" s="560"/>
      <c r="N56" s="563"/>
      <c r="O56" s="564"/>
      <c r="P56" s="565"/>
      <c r="Q56" s="566"/>
      <c r="R56" s="567"/>
      <c r="S56" s="568"/>
      <c r="T56" s="569"/>
      <c r="U56" s="370" t="s">
        <v>157</v>
      </c>
      <c r="V56" s="542">
        <f>MAX(V12:V52)</f>
        <v>526</v>
      </c>
      <c r="W56" s="540"/>
    </row>
    <row r="57" spans="1:26" ht="10.8" thickBot="1" x14ac:dyDescent="0.25">
      <c r="A57" s="570"/>
      <c r="B57" s="571"/>
      <c r="C57" s="572"/>
      <c r="D57" s="572"/>
      <c r="E57" s="572"/>
      <c r="F57" s="572"/>
      <c r="G57" s="573"/>
      <c r="H57" s="572"/>
      <c r="I57" s="572"/>
      <c r="J57" s="572"/>
      <c r="K57" s="572"/>
      <c r="L57" s="574"/>
      <c r="M57" s="572"/>
      <c r="N57" s="575"/>
      <c r="O57" s="576"/>
      <c r="P57" s="577"/>
      <c r="Q57" s="578"/>
      <c r="R57" s="579"/>
      <c r="S57" s="580"/>
      <c r="T57" s="581"/>
      <c r="U57" s="582" t="s">
        <v>158</v>
      </c>
      <c r="V57" s="583">
        <f>MIN(V12:V52)</f>
        <v>500</v>
      </c>
      <c r="W57" s="545"/>
    </row>
    <row r="58" spans="1:26" x14ac:dyDescent="0.2">
      <c r="A58" s="584"/>
      <c r="B58" s="584"/>
      <c r="C58" s="585"/>
      <c r="D58" s="586"/>
      <c r="E58" s="586"/>
      <c r="F58" s="586"/>
      <c r="G58" s="587"/>
      <c r="H58" s="588"/>
      <c r="I58" s="589"/>
      <c r="J58" s="590"/>
      <c r="K58" s="591"/>
      <c r="L58" s="592"/>
      <c r="M58" s="545"/>
      <c r="O58" s="533"/>
      <c r="P58" s="593"/>
    </row>
    <row r="59" spans="1:26" x14ac:dyDescent="0.2">
      <c r="A59" s="545"/>
      <c r="B59" s="545"/>
      <c r="C59" s="594"/>
      <c r="D59" s="594"/>
      <c r="E59" s="594"/>
      <c r="F59" s="594"/>
      <c r="G59" s="589"/>
      <c r="H59" s="588"/>
      <c r="I59" s="589"/>
      <c r="J59" s="590"/>
      <c r="K59" s="595"/>
      <c r="L59" s="592"/>
      <c r="M59" s="545"/>
      <c r="O59" s="533"/>
      <c r="P59" s="593"/>
    </row>
    <row r="60" spans="1:26" x14ac:dyDescent="0.2">
      <c r="A60" s="596"/>
      <c r="B60" s="596"/>
      <c r="C60" s="596"/>
      <c r="D60" s="596"/>
      <c r="E60" s="590"/>
      <c r="F60" s="597"/>
      <c r="G60" s="545"/>
      <c r="H60" s="533"/>
      <c r="I60" s="545"/>
      <c r="J60" s="533"/>
      <c r="K60" s="533"/>
      <c r="L60" s="545"/>
      <c r="M60" s="545"/>
      <c r="O60" s="533"/>
      <c r="P60" s="593"/>
    </row>
    <row r="61" spans="1:26" x14ac:dyDescent="0.2">
      <c r="A61" s="598"/>
      <c r="B61" s="598"/>
      <c r="C61" s="596"/>
      <c r="D61" s="596"/>
      <c r="E61" s="590"/>
      <c r="F61" s="597"/>
      <c r="G61" s="533"/>
      <c r="H61" s="533"/>
      <c r="I61" s="545"/>
      <c r="J61" s="533"/>
      <c r="K61" s="533"/>
      <c r="L61" s="545"/>
      <c r="M61" s="545"/>
      <c r="O61" s="533"/>
      <c r="P61" s="593"/>
    </row>
    <row r="62" spans="1:26" x14ac:dyDescent="0.2">
      <c r="A62" s="442"/>
      <c r="B62" s="442"/>
      <c r="C62" s="596"/>
      <c r="D62" s="596"/>
      <c r="E62" s="590"/>
      <c r="F62" s="597"/>
      <c r="G62" s="533"/>
      <c r="H62" s="533"/>
      <c r="I62" s="545"/>
      <c r="J62" s="533"/>
      <c r="K62" s="533"/>
      <c r="L62" s="545"/>
      <c r="M62" s="545"/>
      <c r="O62" s="533"/>
      <c r="P62" s="593"/>
    </row>
    <row r="63" spans="1:26" x14ac:dyDescent="0.2">
      <c r="A63" s="596"/>
      <c r="B63" s="596"/>
      <c r="C63" s="596"/>
      <c r="D63" s="596"/>
      <c r="E63" s="590"/>
      <c r="F63" s="597"/>
      <c r="G63" s="533"/>
      <c r="H63" s="533"/>
      <c r="I63" s="545"/>
      <c r="J63" s="533"/>
      <c r="K63" s="533"/>
      <c r="L63" s="545"/>
      <c r="M63" s="545"/>
      <c r="O63" s="533"/>
      <c r="P63" s="593"/>
    </row>
    <row r="64" spans="1:26" x14ac:dyDescent="0.2">
      <c r="A64" s="596"/>
      <c r="B64" s="596"/>
      <c r="C64" s="596"/>
      <c r="D64" s="596"/>
      <c r="E64" s="590"/>
      <c r="F64" s="597"/>
      <c r="G64" s="533"/>
      <c r="H64" s="533"/>
      <c r="I64" s="545"/>
      <c r="J64" s="589"/>
      <c r="K64" s="533"/>
      <c r="L64" s="545"/>
      <c r="M64" s="545"/>
      <c r="O64" s="533"/>
      <c r="P64" s="593"/>
    </row>
    <row r="65" spans="1:16" x14ac:dyDescent="0.2">
      <c r="A65" s="596"/>
      <c r="B65" s="596"/>
      <c r="C65" s="596"/>
      <c r="D65" s="596"/>
      <c r="E65" s="590"/>
      <c r="F65" s="597"/>
      <c r="G65" s="533"/>
      <c r="H65" s="533"/>
      <c r="I65" s="545"/>
      <c r="J65" s="589"/>
      <c r="K65" s="533"/>
      <c r="L65" s="545"/>
      <c r="M65" s="545"/>
      <c r="O65" s="533"/>
      <c r="P65" s="593"/>
    </row>
    <row r="66" spans="1:16" x14ac:dyDescent="0.2">
      <c r="A66" s="596"/>
      <c r="B66" s="596"/>
      <c r="C66" s="596"/>
      <c r="D66" s="596"/>
      <c r="E66" s="590"/>
      <c r="F66" s="597"/>
      <c r="G66" s="533"/>
      <c r="H66" s="533"/>
      <c r="I66" s="545"/>
      <c r="J66" s="533"/>
      <c r="K66" s="533"/>
      <c r="L66" s="545"/>
      <c r="M66" s="545"/>
      <c r="O66" s="533"/>
      <c r="P66" s="593"/>
    </row>
    <row r="67" spans="1:16" x14ac:dyDescent="0.2">
      <c r="A67" s="596"/>
      <c r="B67" s="596"/>
      <c r="C67" s="596"/>
      <c r="D67" s="596"/>
      <c r="E67" s="590"/>
      <c r="F67" s="597"/>
      <c r="G67" s="533"/>
      <c r="H67" s="533"/>
      <c r="I67" s="545"/>
      <c r="J67" s="533"/>
      <c r="K67" s="533"/>
      <c r="L67" s="545"/>
      <c r="M67" s="545"/>
      <c r="O67" s="533"/>
      <c r="P67" s="593"/>
    </row>
    <row r="68" spans="1:16" x14ac:dyDescent="0.2">
      <c r="A68" s="596"/>
      <c r="B68" s="596"/>
      <c r="C68" s="596"/>
      <c r="D68" s="596"/>
      <c r="E68" s="590"/>
      <c r="F68" s="597"/>
      <c r="G68" s="533"/>
      <c r="H68" s="533"/>
      <c r="I68" s="545"/>
      <c r="J68" s="533"/>
      <c r="K68" s="533"/>
      <c r="L68" s="545"/>
      <c r="M68" s="545"/>
      <c r="O68" s="533"/>
      <c r="P68" s="593"/>
    </row>
    <row r="69" spans="1:16" x14ac:dyDescent="0.2">
      <c r="A69" s="596"/>
      <c r="B69" s="596"/>
      <c r="C69" s="596"/>
      <c r="D69" s="596"/>
      <c r="E69" s="590"/>
      <c r="F69" s="597"/>
      <c r="G69" s="533"/>
      <c r="H69" s="533"/>
      <c r="I69" s="545"/>
      <c r="J69" s="533"/>
      <c r="K69" s="533"/>
      <c r="L69" s="545"/>
      <c r="M69" s="545"/>
      <c r="O69" s="533"/>
      <c r="P69" s="593"/>
    </row>
    <row r="70" spans="1:16" x14ac:dyDescent="0.2">
      <c r="A70" s="596"/>
      <c r="B70" s="596"/>
      <c r="C70" s="596"/>
      <c r="D70" s="596"/>
      <c r="E70" s="590"/>
      <c r="F70" s="597"/>
      <c r="G70" s="533"/>
      <c r="H70" s="533"/>
      <c r="I70" s="545"/>
      <c r="J70" s="533"/>
      <c r="K70" s="533"/>
      <c r="L70" s="545"/>
      <c r="M70" s="545"/>
      <c r="O70" s="533"/>
      <c r="P70" s="593"/>
    </row>
    <row r="71" spans="1:16" x14ac:dyDescent="0.2">
      <c r="A71" s="596"/>
      <c r="B71" s="596"/>
      <c r="C71" s="596"/>
      <c r="D71" s="596"/>
      <c r="E71" s="590"/>
      <c r="F71" s="597"/>
      <c r="G71" s="533"/>
      <c r="H71" s="533"/>
      <c r="I71" s="545"/>
      <c r="J71" s="533"/>
      <c r="K71" s="533"/>
      <c r="L71" s="545"/>
      <c r="O71" s="533"/>
      <c r="P71" s="593"/>
    </row>
    <row r="72" spans="1:16" x14ac:dyDescent="0.2">
      <c r="A72" s="596"/>
      <c r="B72" s="596"/>
      <c r="C72" s="596"/>
      <c r="D72" s="596"/>
      <c r="E72" s="590"/>
      <c r="F72" s="597"/>
      <c r="G72" s="533"/>
      <c r="H72" s="533"/>
      <c r="I72" s="545"/>
      <c r="J72" s="533"/>
      <c r="K72" s="533"/>
      <c r="L72" s="545"/>
      <c r="O72" s="533"/>
      <c r="P72" s="593"/>
    </row>
    <row r="73" spans="1:16" x14ac:dyDescent="0.2">
      <c r="A73" s="596"/>
      <c r="B73" s="596"/>
      <c r="C73" s="596"/>
      <c r="D73" s="596"/>
      <c r="E73" s="590"/>
      <c r="F73" s="597"/>
      <c r="G73" s="533"/>
      <c r="H73" s="533"/>
      <c r="I73" s="545"/>
      <c r="J73" s="533"/>
      <c r="K73" s="533"/>
      <c r="L73" s="533"/>
      <c r="O73" s="533"/>
      <c r="P73" s="593"/>
    </row>
    <row r="74" spans="1:16" x14ac:dyDescent="0.2">
      <c r="A74" s="596"/>
      <c r="B74" s="596"/>
      <c r="C74" s="596"/>
      <c r="D74" s="596"/>
      <c r="E74" s="590"/>
      <c r="F74" s="597"/>
      <c r="G74" s="533"/>
      <c r="H74" s="533"/>
      <c r="I74" s="545"/>
      <c r="J74" s="533"/>
      <c r="K74" s="533"/>
      <c r="L74" s="533"/>
      <c r="O74" s="533"/>
      <c r="P74" s="593"/>
    </row>
    <row r="75" spans="1:16" x14ac:dyDescent="0.2">
      <c r="A75" s="596"/>
      <c r="B75" s="596"/>
      <c r="C75" s="596"/>
      <c r="D75" s="596"/>
      <c r="E75" s="590"/>
      <c r="F75" s="597"/>
      <c r="G75" s="533"/>
      <c r="H75" s="533"/>
      <c r="I75" s="545"/>
      <c r="J75" s="533"/>
      <c r="K75" s="533"/>
      <c r="L75" s="533"/>
      <c r="O75" s="533"/>
      <c r="P75" s="593"/>
    </row>
    <row r="76" spans="1:16" x14ac:dyDescent="0.2">
      <c r="A76" s="596"/>
      <c r="B76" s="596"/>
      <c r="C76" s="596"/>
      <c r="D76" s="596"/>
      <c r="E76" s="590"/>
      <c r="F76" s="597"/>
      <c r="G76" s="533"/>
      <c r="H76" s="533"/>
      <c r="I76" s="545"/>
      <c r="J76" s="533"/>
      <c r="K76" s="533"/>
      <c r="L76" s="533"/>
      <c r="O76" s="533"/>
      <c r="P76" s="593"/>
    </row>
    <row r="77" spans="1:16" x14ac:dyDescent="0.2">
      <c r="A77" s="596"/>
      <c r="B77" s="596"/>
      <c r="C77" s="596"/>
      <c r="D77" s="596"/>
      <c r="E77" s="590"/>
      <c r="F77" s="597"/>
      <c r="G77" s="533"/>
      <c r="H77" s="533"/>
      <c r="I77" s="545"/>
      <c r="J77" s="533"/>
      <c r="K77" s="533"/>
      <c r="L77" s="533"/>
      <c r="O77" s="533"/>
      <c r="P77" s="593"/>
    </row>
    <row r="78" spans="1:16" x14ac:dyDescent="0.2">
      <c r="A78" s="596"/>
      <c r="B78" s="596"/>
      <c r="C78" s="596"/>
      <c r="D78" s="596"/>
      <c r="E78" s="590"/>
      <c r="F78" s="597"/>
      <c r="G78" s="533"/>
      <c r="H78" s="533"/>
      <c r="I78" s="545"/>
      <c r="J78" s="533"/>
      <c r="K78" s="533"/>
      <c r="L78" s="533"/>
      <c r="O78" s="533"/>
      <c r="P78" s="593"/>
    </row>
    <row r="79" spans="1:16" x14ac:dyDescent="0.2">
      <c r="A79" s="596"/>
      <c r="B79" s="596"/>
      <c r="C79" s="596"/>
      <c r="D79" s="596"/>
      <c r="E79" s="590"/>
      <c r="F79" s="597"/>
      <c r="G79" s="533"/>
      <c r="H79" s="533"/>
      <c r="I79" s="545"/>
      <c r="J79" s="533"/>
      <c r="K79" s="533"/>
      <c r="L79" s="533"/>
      <c r="O79" s="533"/>
      <c r="P79" s="593"/>
    </row>
    <row r="80" spans="1:16" x14ac:dyDescent="0.2">
      <c r="A80" s="596"/>
      <c r="B80" s="596"/>
      <c r="C80" s="596"/>
      <c r="D80" s="596"/>
      <c r="E80" s="590"/>
      <c r="F80" s="597"/>
      <c r="G80" s="533"/>
      <c r="H80" s="533"/>
      <c r="I80" s="545"/>
      <c r="J80" s="533"/>
      <c r="K80" s="533"/>
      <c r="L80" s="533"/>
      <c r="O80" s="533"/>
      <c r="P80" s="593"/>
    </row>
    <row r="81" spans="1:19" x14ac:dyDescent="0.2">
      <c r="A81" s="596"/>
      <c r="B81" s="596"/>
      <c r="C81" s="596"/>
      <c r="D81" s="596"/>
      <c r="E81" s="590"/>
      <c r="F81" s="597"/>
      <c r="G81" s="533"/>
      <c r="H81" s="533"/>
      <c r="I81" s="545"/>
      <c r="J81" s="533"/>
      <c r="K81" s="533"/>
      <c r="L81" s="533"/>
      <c r="O81" s="533"/>
      <c r="P81" s="593"/>
    </row>
    <row r="82" spans="1:19" x14ac:dyDescent="0.2">
      <c r="A82" s="596"/>
      <c r="B82" s="596"/>
      <c r="C82" s="596"/>
      <c r="D82" s="596"/>
      <c r="E82" s="590"/>
      <c r="F82" s="597"/>
      <c r="G82" s="533"/>
      <c r="H82" s="533"/>
      <c r="I82" s="545"/>
      <c r="J82" s="533"/>
      <c r="K82" s="533"/>
      <c r="L82" s="533"/>
      <c r="O82" s="533"/>
      <c r="P82" s="593"/>
    </row>
    <row r="83" spans="1:19" x14ac:dyDescent="0.2">
      <c r="A83" s="596"/>
      <c r="B83" s="596"/>
      <c r="C83" s="596"/>
      <c r="D83" s="596"/>
      <c r="E83" s="590"/>
      <c r="F83" s="597"/>
      <c r="G83" s="533"/>
      <c r="H83" s="533"/>
      <c r="I83" s="545"/>
      <c r="J83" s="533"/>
      <c r="K83" s="533"/>
      <c r="L83" s="533"/>
      <c r="O83" s="533"/>
      <c r="P83" s="593"/>
    </row>
    <row r="84" spans="1:19" x14ac:dyDescent="0.2">
      <c r="A84" s="596"/>
      <c r="B84" s="596"/>
      <c r="C84" s="596"/>
      <c r="D84" s="596"/>
      <c r="E84" s="590"/>
      <c r="F84" s="597"/>
      <c r="G84" s="593"/>
      <c r="H84" s="533"/>
      <c r="I84" s="545"/>
      <c r="J84" s="533"/>
      <c r="K84" s="533"/>
      <c r="L84" s="533"/>
      <c r="O84" s="533"/>
      <c r="P84" s="593"/>
    </row>
    <row r="85" spans="1:19" x14ac:dyDescent="0.2">
      <c r="A85" s="596"/>
      <c r="B85" s="596"/>
      <c r="C85" s="596"/>
      <c r="D85" s="596"/>
      <c r="E85" s="590"/>
      <c r="F85" s="597"/>
      <c r="G85" s="593"/>
      <c r="H85" s="533"/>
      <c r="I85" s="545"/>
      <c r="J85" s="533"/>
      <c r="K85" s="533"/>
      <c r="L85" s="533"/>
      <c r="O85" s="533"/>
      <c r="P85" s="593"/>
    </row>
    <row r="86" spans="1:19" x14ac:dyDescent="0.2">
      <c r="A86" s="596"/>
      <c r="B86" s="596"/>
      <c r="C86" s="596"/>
      <c r="D86" s="596"/>
      <c r="E86" s="590"/>
      <c r="F86" s="597"/>
      <c r="G86" s="593"/>
      <c r="H86" s="533"/>
      <c r="I86" s="545"/>
      <c r="J86" s="533"/>
      <c r="K86" s="533"/>
      <c r="L86" s="533"/>
      <c r="O86" s="533"/>
      <c r="P86" s="593"/>
    </row>
    <row r="87" spans="1:19" x14ac:dyDescent="0.2">
      <c r="A87" s="596"/>
      <c r="B87" s="596"/>
      <c r="C87" s="596"/>
      <c r="D87" s="596"/>
      <c r="E87" s="590"/>
      <c r="F87" s="597"/>
      <c r="G87" s="593"/>
      <c r="H87" s="533"/>
      <c r="I87" s="545"/>
      <c r="J87" s="533"/>
      <c r="K87" s="533"/>
      <c r="L87" s="533"/>
      <c r="O87" s="533"/>
      <c r="P87" s="593"/>
    </row>
    <row r="88" spans="1:19" x14ac:dyDescent="0.2">
      <c r="A88" s="596"/>
      <c r="B88" s="596"/>
      <c r="C88" s="596"/>
      <c r="D88" s="596"/>
      <c r="E88" s="590"/>
      <c r="F88" s="597"/>
      <c r="G88" s="533"/>
      <c r="H88" s="533"/>
      <c r="I88" s="545"/>
      <c r="J88" s="533"/>
      <c r="K88" s="533"/>
      <c r="L88" s="533"/>
      <c r="O88" s="533"/>
      <c r="P88" s="593"/>
    </row>
    <row r="89" spans="1:19" x14ac:dyDescent="0.2">
      <c r="A89" s="596"/>
      <c r="B89" s="596"/>
      <c r="C89" s="596"/>
      <c r="D89" s="596"/>
      <c r="E89" s="590"/>
      <c r="F89" s="597"/>
      <c r="G89" s="533"/>
      <c r="H89" s="533"/>
      <c r="I89" s="545"/>
      <c r="J89" s="533"/>
      <c r="K89" s="533"/>
      <c r="L89" s="533"/>
      <c r="O89" s="533"/>
      <c r="P89" s="593"/>
    </row>
    <row r="90" spans="1:19" s="596" customFormat="1" x14ac:dyDescent="0.2">
      <c r="E90" s="590"/>
      <c r="F90" s="597"/>
      <c r="G90" s="533"/>
      <c r="H90" s="533"/>
      <c r="I90" s="545"/>
      <c r="J90" s="533"/>
      <c r="K90" s="533"/>
      <c r="L90" s="533"/>
      <c r="M90" s="533"/>
      <c r="N90" s="533"/>
      <c r="O90" s="533"/>
      <c r="P90" s="593"/>
      <c r="Q90" s="593"/>
      <c r="R90" s="599"/>
      <c r="S90" s="599"/>
    </row>
    <row r="91" spans="1:19" s="596" customFormat="1" x14ac:dyDescent="0.2">
      <c r="E91" s="590"/>
      <c r="F91" s="597"/>
      <c r="G91" s="533"/>
      <c r="H91" s="533"/>
      <c r="I91" s="545"/>
      <c r="J91" s="533"/>
      <c r="K91" s="533"/>
      <c r="L91" s="533"/>
      <c r="M91" s="533"/>
      <c r="N91" s="533"/>
      <c r="O91" s="533"/>
      <c r="P91" s="593"/>
      <c r="Q91" s="593"/>
      <c r="R91" s="599"/>
      <c r="S91" s="599"/>
    </row>
    <row r="92" spans="1:19" s="596" customFormat="1" x14ac:dyDescent="0.2">
      <c r="E92" s="590"/>
      <c r="F92" s="597"/>
      <c r="G92" s="533"/>
      <c r="H92" s="533"/>
      <c r="I92" s="545"/>
      <c r="J92" s="533"/>
      <c r="K92" s="533"/>
      <c r="L92" s="533"/>
      <c r="M92" s="533"/>
      <c r="N92" s="533"/>
      <c r="O92" s="533"/>
      <c r="P92" s="593"/>
      <c r="Q92" s="593"/>
      <c r="R92" s="599"/>
      <c r="S92" s="599"/>
    </row>
    <row r="93" spans="1:19" s="596" customFormat="1" x14ac:dyDescent="0.2">
      <c r="E93" s="590"/>
      <c r="F93" s="597"/>
      <c r="G93" s="533"/>
      <c r="H93" s="533"/>
      <c r="I93" s="545"/>
      <c r="J93" s="533"/>
      <c r="K93" s="533"/>
      <c r="L93" s="533"/>
      <c r="M93" s="533"/>
      <c r="N93" s="533"/>
      <c r="O93" s="533"/>
      <c r="P93" s="593"/>
      <c r="Q93" s="593"/>
      <c r="R93" s="599"/>
      <c r="S93" s="599"/>
    </row>
    <row r="94" spans="1:19" s="596" customFormat="1" x14ac:dyDescent="0.2">
      <c r="E94" s="590"/>
      <c r="F94" s="597"/>
      <c r="G94" s="533"/>
      <c r="H94" s="533"/>
      <c r="I94" s="545"/>
      <c r="J94" s="533"/>
      <c r="K94" s="533"/>
      <c r="L94" s="533"/>
      <c r="M94" s="533"/>
      <c r="N94" s="533"/>
      <c r="O94" s="533"/>
      <c r="P94" s="593"/>
      <c r="Q94" s="593"/>
      <c r="R94" s="599"/>
      <c r="S94" s="599"/>
    </row>
    <row r="95" spans="1:19" s="596" customFormat="1" x14ac:dyDescent="0.2">
      <c r="E95" s="590"/>
      <c r="F95" s="597"/>
      <c r="G95" s="533"/>
      <c r="H95" s="533"/>
      <c r="I95" s="545"/>
      <c r="J95" s="533"/>
      <c r="K95" s="533"/>
      <c r="L95" s="533"/>
      <c r="M95" s="533"/>
      <c r="P95" s="599"/>
      <c r="Q95" s="599"/>
      <c r="R95" s="599"/>
      <c r="S95" s="599"/>
    </row>
    <row r="96" spans="1:19" s="596" customFormat="1" x14ac:dyDescent="0.2">
      <c r="E96" s="590"/>
      <c r="F96" s="597"/>
      <c r="G96" s="533"/>
      <c r="H96" s="533"/>
      <c r="I96" s="545"/>
      <c r="J96" s="533"/>
      <c r="K96" s="533"/>
      <c r="L96" s="533"/>
      <c r="M96" s="533"/>
      <c r="P96" s="599"/>
      <c r="Q96" s="599"/>
      <c r="R96" s="599"/>
      <c r="S96" s="599"/>
    </row>
    <row r="97" spans="5:19" s="596" customFormat="1" x14ac:dyDescent="0.2">
      <c r="E97" s="590"/>
      <c r="F97" s="597"/>
      <c r="G97" s="533"/>
      <c r="H97" s="533"/>
      <c r="I97" s="545"/>
      <c r="J97" s="533"/>
      <c r="K97" s="533"/>
      <c r="L97" s="533"/>
      <c r="M97" s="533"/>
      <c r="P97" s="599"/>
      <c r="Q97" s="599"/>
      <c r="R97" s="599"/>
      <c r="S97" s="599"/>
    </row>
    <row r="98" spans="5:19" s="596" customFormat="1" x14ac:dyDescent="0.2">
      <c r="E98" s="590"/>
      <c r="F98" s="597"/>
      <c r="G98" s="533"/>
      <c r="H98" s="533"/>
      <c r="I98" s="545"/>
      <c r="J98" s="533"/>
      <c r="K98" s="533"/>
      <c r="L98" s="533"/>
      <c r="M98" s="533"/>
      <c r="P98" s="599"/>
      <c r="Q98" s="599"/>
      <c r="R98" s="599"/>
      <c r="S98" s="599"/>
    </row>
    <row r="99" spans="5:19" s="596" customFormat="1" x14ac:dyDescent="0.2">
      <c r="E99" s="590"/>
      <c r="F99" s="597"/>
      <c r="G99" s="533"/>
      <c r="H99" s="533"/>
      <c r="I99" s="545"/>
      <c r="J99" s="533"/>
      <c r="K99" s="533"/>
      <c r="L99" s="533"/>
      <c r="M99" s="533"/>
      <c r="P99" s="599"/>
      <c r="Q99" s="599"/>
      <c r="R99" s="599"/>
      <c r="S99" s="599"/>
    </row>
    <row r="100" spans="5:19" s="596" customFormat="1" x14ac:dyDescent="0.2">
      <c r="E100" s="590"/>
      <c r="F100" s="597"/>
      <c r="G100" s="533"/>
      <c r="H100" s="533"/>
      <c r="I100" s="545"/>
      <c r="J100" s="533"/>
      <c r="K100" s="533"/>
      <c r="L100" s="533"/>
      <c r="M100" s="533"/>
      <c r="P100" s="599"/>
      <c r="Q100" s="599"/>
      <c r="R100" s="599"/>
      <c r="S100" s="599"/>
    </row>
    <row r="101" spans="5:19" s="596" customFormat="1" x14ac:dyDescent="0.2">
      <c r="E101" s="590"/>
      <c r="F101" s="597"/>
      <c r="G101" s="533"/>
      <c r="H101" s="533"/>
      <c r="I101" s="545"/>
      <c r="J101" s="533"/>
      <c r="K101" s="533"/>
      <c r="L101" s="533"/>
      <c r="M101" s="533"/>
      <c r="P101" s="599"/>
      <c r="Q101" s="599"/>
      <c r="R101" s="599"/>
      <c r="S101" s="599"/>
    </row>
    <row r="102" spans="5:19" s="596" customFormat="1" x14ac:dyDescent="0.2">
      <c r="E102" s="590"/>
      <c r="F102" s="597"/>
      <c r="G102" s="533"/>
      <c r="H102" s="533"/>
      <c r="I102" s="545"/>
      <c r="J102" s="533"/>
      <c r="K102" s="533"/>
      <c r="L102" s="533"/>
      <c r="M102" s="533"/>
      <c r="P102" s="599"/>
      <c r="Q102" s="599"/>
      <c r="R102" s="599"/>
      <c r="S102" s="599"/>
    </row>
    <row r="103" spans="5:19" s="596" customFormat="1" x14ac:dyDescent="0.2">
      <c r="E103" s="590"/>
      <c r="F103" s="597"/>
      <c r="G103" s="533"/>
      <c r="H103" s="533"/>
      <c r="I103" s="545"/>
      <c r="J103" s="533"/>
      <c r="K103" s="533"/>
      <c r="L103" s="533"/>
      <c r="M103" s="533"/>
      <c r="P103" s="599"/>
      <c r="Q103" s="599"/>
      <c r="R103" s="599"/>
      <c r="S103" s="599"/>
    </row>
    <row r="104" spans="5:19" s="596" customFormat="1" x14ac:dyDescent="0.2">
      <c r="E104" s="590"/>
      <c r="F104" s="597"/>
      <c r="G104" s="533"/>
      <c r="H104" s="533"/>
      <c r="I104" s="545"/>
      <c r="J104" s="533"/>
      <c r="K104" s="533"/>
      <c r="L104" s="533"/>
      <c r="M104" s="533"/>
      <c r="P104" s="599"/>
      <c r="Q104" s="599"/>
      <c r="R104" s="599"/>
      <c r="S104" s="599"/>
    </row>
    <row r="105" spans="5:19" s="596" customFormat="1" x14ac:dyDescent="0.2">
      <c r="E105" s="590"/>
      <c r="F105" s="597"/>
      <c r="G105" s="533"/>
      <c r="H105" s="533"/>
      <c r="I105" s="545"/>
      <c r="J105" s="533"/>
      <c r="K105" s="533"/>
      <c r="L105" s="533"/>
      <c r="M105" s="533"/>
      <c r="P105" s="599"/>
      <c r="Q105" s="599"/>
      <c r="R105" s="599"/>
      <c r="S105" s="599"/>
    </row>
    <row r="106" spans="5:19" s="596" customFormat="1" x14ac:dyDescent="0.2">
      <c r="E106" s="590"/>
      <c r="F106" s="597"/>
      <c r="G106" s="533"/>
      <c r="H106" s="533"/>
      <c r="I106" s="545"/>
      <c r="J106" s="533"/>
      <c r="K106" s="533"/>
      <c r="L106" s="533"/>
      <c r="M106" s="533"/>
      <c r="P106" s="599"/>
      <c r="Q106" s="599"/>
      <c r="R106" s="599"/>
      <c r="S106" s="599"/>
    </row>
    <row r="107" spans="5:19" s="596" customFormat="1" x14ac:dyDescent="0.2">
      <c r="E107" s="590"/>
      <c r="F107" s="597"/>
      <c r="G107" s="533"/>
      <c r="H107" s="533"/>
      <c r="I107" s="545"/>
      <c r="J107" s="533"/>
      <c r="K107" s="533"/>
      <c r="L107" s="533"/>
      <c r="M107" s="533"/>
      <c r="P107" s="599"/>
      <c r="Q107" s="599"/>
      <c r="R107" s="599"/>
      <c r="S107" s="599"/>
    </row>
    <row r="108" spans="5:19" s="596" customFormat="1" x14ac:dyDescent="0.2">
      <c r="E108" s="590"/>
      <c r="F108" s="597"/>
      <c r="G108" s="533"/>
      <c r="H108" s="533"/>
      <c r="I108" s="545"/>
      <c r="J108" s="533"/>
      <c r="K108" s="533"/>
      <c r="L108" s="533"/>
      <c r="M108" s="533"/>
      <c r="P108" s="599"/>
      <c r="Q108" s="599"/>
      <c r="R108" s="599"/>
      <c r="S108" s="599"/>
    </row>
    <row r="109" spans="5:19" s="596" customFormat="1" x14ac:dyDescent="0.2">
      <c r="E109" s="590"/>
      <c r="F109" s="597"/>
      <c r="G109" s="533"/>
      <c r="H109" s="533"/>
      <c r="I109" s="545"/>
      <c r="J109" s="533"/>
      <c r="K109" s="533"/>
      <c r="L109" s="533"/>
      <c r="M109" s="533"/>
      <c r="P109" s="599"/>
      <c r="Q109" s="599"/>
      <c r="R109" s="599"/>
      <c r="S109" s="599"/>
    </row>
    <row r="110" spans="5:19" s="596" customFormat="1" x14ac:dyDescent="0.2">
      <c r="E110" s="590"/>
      <c r="F110" s="597"/>
      <c r="G110" s="533"/>
      <c r="H110" s="533"/>
      <c r="I110" s="545"/>
      <c r="J110" s="533"/>
      <c r="K110" s="533"/>
      <c r="L110" s="533"/>
      <c r="P110" s="599"/>
      <c r="Q110" s="599"/>
      <c r="R110" s="599"/>
      <c r="S110" s="599"/>
    </row>
    <row r="111" spans="5:19" s="596" customFormat="1" x14ac:dyDescent="0.2">
      <c r="E111" s="590"/>
      <c r="F111" s="597"/>
      <c r="G111" s="533"/>
      <c r="H111" s="533"/>
      <c r="I111" s="545"/>
      <c r="J111" s="533"/>
      <c r="K111" s="533"/>
      <c r="L111" s="533"/>
      <c r="P111" s="599"/>
      <c r="Q111" s="599"/>
      <c r="R111" s="599"/>
      <c r="S111" s="599"/>
    </row>
    <row r="112" spans="5:19" s="596" customFormat="1" x14ac:dyDescent="0.2">
      <c r="E112" s="590"/>
      <c r="F112" s="597"/>
      <c r="G112" s="533"/>
      <c r="H112" s="533"/>
      <c r="I112" s="545"/>
      <c r="J112" s="533"/>
      <c r="K112" s="533"/>
      <c r="L112" s="533"/>
      <c r="P112" s="599"/>
      <c r="Q112" s="599"/>
      <c r="R112" s="599"/>
      <c r="S112" s="599"/>
    </row>
    <row r="113" spans="5:19" s="596" customFormat="1" x14ac:dyDescent="0.2">
      <c r="E113" s="590"/>
      <c r="F113" s="597"/>
      <c r="G113" s="533"/>
      <c r="H113" s="533"/>
      <c r="I113" s="545"/>
      <c r="J113" s="533"/>
      <c r="K113" s="533"/>
      <c r="L113" s="533"/>
      <c r="P113" s="599"/>
      <c r="Q113" s="599"/>
      <c r="R113" s="599"/>
      <c r="S113" s="599"/>
    </row>
    <row r="114" spans="5:19" s="596" customFormat="1" x14ac:dyDescent="0.2">
      <c r="E114" s="590"/>
      <c r="F114" s="597"/>
      <c r="G114" s="533"/>
      <c r="H114" s="533"/>
      <c r="I114" s="545"/>
      <c r="J114" s="533"/>
      <c r="K114" s="533"/>
      <c r="L114" s="533"/>
      <c r="P114" s="599"/>
      <c r="Q114" s="599"/>
      <c r="R114" s="599"/>
      <c r="S114" s="599"/>
    </row>
    <row r="115" spans="5:19" s="596" customFormat="1" x14ac:dyDescent="0.2">
      <c r="E115" s="590"/>
      <c r="F115" s="597"/>
      <c r="G115" s="533"/>
      <c r="H115" s="533"/>
      <c r="I115" s="545"/>
      <c r="J115" s="533"/>
      <c r="K115" s="533"/>
      <c r="L115" s="533"/>
      <c r="P115" s="599"/>
      <c r="Q115" s="599"/>
      <c r="R115" s="599"/>
      <c r="S115" s="599"/>
    </row>
    <row r="116" spans="5:19" s="596" customFormat="1" x14ac:dyDescent="0.2">
      <c r="E116" s="590"/>
      <c r="F116" s="597"/>
      <c r="G116" s="533"/>
      <c r="H116" s="533"/>
      <c r="I116" s="545"/>
      <c r="J116" s="533"/>
      <c r="K116" s="533"/>
      <c r="L116" s="533"/>
      <c r="P116" s="599"/>
      <c r="Q116" s="599"/>
      <c r="R116" s="599"/>
      <c r="S116" s="599"/>
    </row>
    <row r="117" spans="5:19" s="596" customFormat="1" x14ac:dyDescent="0.2">
      <c r="E117" s="590"/>
      <c r="F117" s="597"/>
      <c r="G117" s="533"/>
      <c r="H117" s="533"/>
      <c r="I117" s="545"/>
      <c r="J117" s="533"/>
      <c r="K117" s="533"/>
      <c r="L117" s="533"/>
      <c r="P117" s="599"/>
      <c r="Q117" s="599"/>
      <c r="R117" s="599"/>
      <c r="S117" s="599"/>
    </row>
    <row r="118" spans="5:19" s="596" customFormat="1" x14ac:dyDescent="0.2">
      <c r="E118" s="590"/>
      <c r="F118" s="597"/>
      <c r="G118" s="533"/>
      <c r="H118" s="533"/>
      <c r="I118" s="545"/>
      <c r="J118" s="533"/>
      <c r="K118" s="533"/>
      <c r="L118" s="533"/>
      <c r="P118" s="599"/>
      <c r="Q118" s="599"/>
      <c r="R118" s="599"/>
      <c r="S118" s="599"/>
    </row>
    <row r="119" spans="5:19" s="596" customFormat="1" x14ac:dyDescent="0.2">
      <c r="E119" s="590"/>
      <c r="F119" s="597"/>
      <c r="G119" s="533"/>
      <c r="H119" s="533"/>
      <c r="I119" s="545"/>
      <c r="J119" s="533"/>
      <c r="K119" s="533"/>
      <c r="L119" s="533"/>
      <c r="P119" s="599"/>
      <c r="Q119" s="599"/>
      <c r="R119" s="599"/>
      <c r="S119" s="599"/>
    </row>
    <row r="120" spans="5:19" s="596" customFormat="1" x14ac:dyDescent="0.2">
      <c r="E120" s="590"/>
      <c r="F120" s="597"/>
      <c r="G120" s="533"/>
      <c r="H120" s="533"/>
      <c r="I120" s="545"/>
      <c r="J120" s="533"/>
      <c r="K120" s="533"/>
      <c r="L120" s="533"/>
      <c r="P120" s="599"/>
      <c r="Q120" s="599"/>
      <c r="R120" s="599"/>
      <c r="S120" s="599"/>
    </row>
    <row r="121" spans="5:19" s="596" customFormat="1" x14ac:dyDescent="0.2">
      <c r="E121" s="590"/>
      <c r="F121" s="597"/>
      <c r="G121" s="533"/>
      <c r="H121" s="533"/>
      <c r="I121" s="545"/>
      <c r="J121" s="533"/>
      <c r="K121" s="533"/>
      <c r="L121" s="533"/>
      <c r="P121" s="599"/>
      <c r="Q121" s="599"/>
      <c r="R121" s="599"/>
      <c r="S121" s="599"/>
    </row>
    <row r="122" spans="5:19" s="596" customFormat="1" x14ac:dyDescent="0.2">
      <c r="E122" s="590"/>
      <c r="F122" s="597"/>
      <c r="G122" s="533"/>
      <c r="H122" s="533"/>
      <c r="I122" s="545"/>
      <c r="J122" s="533"/>
      <c r="K122" s="533"/>
      <c r="L122" s="533"/>
      <c r="P122" s="599"/>
      <c r="Q122" s="599"/>
      <c r="R122" s="599"/>
      <c r="S122" s="599"/>
    </row>
    <row r="123" spans="5:19" s="596" customFormat="1" x14ac:dyDescent="0.2">
      <c r="E123" s="590"/>
      <c r="F123" s="597"/>
      <c r="G123" s="533"/>
      <c r="H123" s="533"/>
      <c r="I123" s="545"/>
      <c r="J123" s="533"/>
      <c r="K123" s="533"/>
      <c r="L123" s="533"/>
      <c r="P123" s="599"/>
      <c r="Q123" s="599"/>
      <c r="R123" s="599"/>
      <c r="S123" s="599"/>
    </row>
    <row r="124" spans="5:19" s="596" customFormat="1" x14ac:dyDescent="0.2">
      <c r="E124" s="590"/>
      <c r="F124" s="597"/>
      <c r="G124" s="533"/>
      <c r="H124" s="533"/>
      <c r="I124" s="545"/>
      <c r="J124" s="533"/>
      <c r="K124" s="533"/>
      <c r="L124" s="533"/>
      <c r="P124" s="599"/>
      <c r="Q124" s="599"/>
      <c r="R124" s="599"/>
      <c r="S124" s="599"/>
    </row>
    <row r="125" spans="5:19" s="596" customFormat="1" x14ac:dyDescent="0.2">
      <c r="E125" s="590"/>
      <c r="F125" s="597"/>
      <c r="G125" s="533"/>
      <c r="H125" s="533"/>
      <c r="I125" s="545"/>
      <c r="J125" s="533"/>
      <c r="K125" s="533"/>
      <c r="L125" s="533"/>
      <c r="P125" s="599"/>
      <c r="Q125" s="599"/>
      <c r="R125" s="599"/>
      <c r="S125" s="599"/>
    </row>
    <row r="126" spans="5:19" s="596" customFormat="1" x14ac:dyDescent="0.2">
      <c r="E126" s="590"/>
      <c r="F126" s="597"/>
      <c r="G126" s="533"/>
      <c r="H126" s="533"/>
      <c r="I126" s="545"/>
      <c r="J126" s="533"/>
      <c r="K126" s="533"/>
      <c r="L126" s="533"/>
      <c r="P126" s="599"/>
      <c r="Q126" s="599"/>
      <c r="R126" s="599"/>
      <c r="S126" s="599"/>
    </row>
    <row r="127" spans="5:19" s="596" customFormat="1" x14ac:dyDescent="0.2">
      <c r="E127" s="590"/>
      <c r="F127" s="597"/>
      <c r="G127" s="533"/>
      <c r="H127" s="533"/>
      <c r="I127" s="545"/>
      <c r="J127" s="533"/>
      <c r="K127" s="533"/>
      <c r="L127" s="533"/>
      <c r="P127" s="599"/>
      <c r="Q127" s="599"/>
      <c r="R127" s="599"/>
      <c r="S127" s="599"/>
    </row>
    <row r="128" spans="5:19" s="596" customFormat="1" x14ac:dyDescent="0.2">
      <c r="E128" s="590"/>
      <c r="F128" s="597"/>
      <c r="G128" s="533"/>
      <c r="H128" s="533"/>
      <c r="I128" s="545"/>
      <c r="J128" s="533"/>
      <c r="K128" s="533"/>
      <c r="L128" s="533"/>
      <c r="P128" s="599"/>
      <c r="Q128" s="599"/>
      <c r="R128" s="599"/>
      <c r="S128" s="599"/>
    </row>
    <row r="129" spans="5:19" s="596" customFormat="1" x14ac:dyDescent="0.2">
      <c r="E129" s="590"/>
      <c r="F129" s="597"/>
      <c r="G129" s="533"/>
      <c r="H129" s="533"/>
      <c r="I129" s="545"/>
      <c r="J129" s="533"/>
      <c r="K129" s="533"/>
      <c r="L129" s="533"/>
      <c r="P129" s="599"/>
      <c r="Q129" s="599"/>
      <c r="R129" s="599"/>
      <c r="S129" s="599"/>
    </row>
    <row r="130" spans="5:19" s="596" customFormat="1" x14ac:dyDescent="0.2">
      <c r="E130" s="590"/>
      <c r="F130" s="597"/>
      <c r="G130" s="533"/>
      <c r="H130" s="533"/>
      <c r="I130" s="545"/>
      <c r="J130" s="533"/>
      <c r="K130" s="533"/>
      <c r="L130" s="533"/>
      <c r="P130" s="599"/>
      <c r="Q130" s="599"/>
      <c r="R130" s="599"/>
      <c r="S130" s="599"/>
    </row>
    <row r="131" spans="5:19" s="596" customFormat="1" x14ac:dyDescent="0.2">
      <c r="E131" s="590"/>
      <c r="F131" s="597"/>
      <c r="G131" s="533"/>
      <c r="H131" s="533"/>
      <c r="I131" s="545"/>
      <c r="J131" s="533"/>
      <c r="K131" s="533"/>
      <c r="L131" s="533"/>
      <c r="P131" s="599"/>
      <c r="Q131" s="599"/>
      <c r="R131" s="599"/>
      <c r="S131" s="599"/>
    </row>
    <row r="132" spans="5:19" s="596" customFormat="1" x14ac:dyDescent="0.2">
      <c r="E132" s="590"/>
      <c r="F132" s="597"/>
      <c r="G132" s="533"/>
      <c r="H132" s="533"/>
      <c r="I132" s="545"/>
      <c r="J132" s="533"/>
      <c r="K132" s="533"/>
      <c r="L132" s="533"/>
      <c r="P132" s="599"/>
      <c r="Q132" s="599"/>
      <c r="R132" s="599"/>
      <c r="S132" s="599"/>
    </row>
    <row r="133" spans="5:19" s="596" customFormat="1" x14ac:dyDescent="0.2">
      <c r="E133" s="590"/>
      <c r="F133" s="597"/>
      <c r="G133" s="533"/>
      <c r="H133" s="533"/>
      <c r="I133" s="545"/>
      <c r="J133" s="533"/>
      <c r="K133" s="533"/>
      <c r="L133" s="533"/>
      <c r="P133" s="599"/>
      <c r="Q133" s="599"/>
      <c r="R133" s="599"/>
      <c r="S133" s="599"/>
    </row>
    <row r="134" spans="5:19" s="596" customFormat="1" x14ac:dyDescent="0.2">
      <c r="E134" s="590"/>
      <c r="F134" s="597"/>
      <c r="G134" s="533"/>
      <c r="H134" s="533"/>
      <c r="I134" s="545"/>
      <c r="J134" s="533"/>
      <c r="K134" s="533"/>
      <c r="L134" s="533"/>
      <c r="P134" s="599"/>
      <c r="Q134" s="599"/>
      <c r="R134" s="599"/>
      <c r="S134" s="599"/>
    </row>
    <row r="135" spans="5:19" s="596" customFormat="1" x14ac:dyDescent="0.2">
      <c r="E135" s="590"/>
      <c r="F135" s="597"/>
      <c r="G135" s="533"/>
      <c r="H135" s="533"/>
      <c r="I135" s="545"/>
      <c r="J135" s="533"/>
      <c r="K135" s="533"/>
      <c r="L135" s="533"/>
      <c r="P135" s="599"/>
      <c r="Q135" s="599"/>
      <c r="R135" s="599"/>
      <c r="S135" s="599"/>
    </row>
    <row r="136" spans="5:19" s="596" customFormat="1" x14ac:dyDescent="0.2">
      <c r="E136" s="590"/>
      <c r="F136" s="597"/>
      <c r="G136" s="533"/>
      <c r="H136" s="533"/>
      <c r="I136" s="545"/>
      <c r="J136" s="533"/>
      <c r="K136" s="533"/>
      <c r="L136" s="533"/>
      <c r="P136" s="599"/>
      <c r="Q136" s="599"/>
      <c r="R136" s="599"/>
      <c r="S136" s="599"/>
    </row>
    <row r="137" spans="5:19" s="596" customFormat="1" x14ac:dyDescent="0.2">
      <c r="E137" s="590"/>
      <c r="F137" s="597"/>
      <c r="G137" s="533"/>
      <c r="H137" s="533"/>
      <c r="I137" s="545"/>
      <c r="J137" s="533"/>
      <c r="K137" s="533"/>
      <c r="L137" s="533"/>
      <c r="P137" s="599"/>
      <c r="Q137" s="599"/>
      <c r="R137" s="599"/>
      <c r="S137" s="599"/>
    </row>
    <row r="138" spans="5:19" s="596" customFormat="1" x14ac:dyDescent="0.2">
      <c r="E138" s="590"/>
      <c r="F138" s="597"/>
      <c r="G138" s="533"/>
      <c r="H138" s="533"/>
      <c r="I138" s="545"/>
      <c r="J138" s="533"/>
      <c r="K138" s="533"/>
      <c r="L138" s="533"/>
      <c r="P138" s="599"/>
      <c r="Q138" s="599"/>
      <c r="R138" s="599"/>
      <c r="S138" s="599"/>
    </row>
    <row r="139" spans="5:19" s="596" customFormat="1" x14ac:dyDescent="0.2">
      <c r="E139" s="590"/>
      <c r="F139" s="597"/>
      <c r="G139" s="533"/>
      <c r="H139" s="533"/>
      <c r="I139" s="545"/>
      <c r="J139" s="533"/>
      <c r="K139" s="533"/>
      <c r="L139" s="533"/>
      <c r="P139" s="599"/>
      <c r="Q139" s="599"/>
      <c r="R139" s="599"/>
      <c r="S139" s="599"/>
    </row>
    <row r="140" spans="5:19" s="596" customFormat="1" x14ac:dyDescent="0.2">
      <c r="E140" s="590"/>
      <c r="F140" s="597"/>
      <c r="G140" s="533"/>
      <c r="H140" s="533"/>
      <c r="I140" s="545"/>
      <c r="J140" s="533"/>
      <c r="K140" s="533"/>
      <c r="L140" s="533"/>
      <c r="P140" s="599"/>
      <c r="Q140" s="599"/>
      <c r="R140" s="599"/>
      <c r="S140" s="599"/>
    </row>
    <row r="141" spans="5:19" s="596" customFormat="1" x14ac:dyDescent="0.2">
      <c r="E141" s="590"/>
      <c r="F141" s="597"/>
      <c r="G141" s="533"/>
      <c r="H141" s="533"/>
      <c r="I141" s="545"/>
      <c r="J141" s="533"/>
      <c r="K141" s="533"/>
      <c r="L141" s="533"/>
      <c r="P141" s="599"/>
      <c r="Q141" s="599"/>
      <c r="R141" s="599"/>
      <c r="S141" s="599"/>
    </row>
    <row r="142" spans="5:19" s="596" customFormat="1" x14ac:dyDescent="0.2">
      <c r="E142" s="590"/>
      <c r="F142" s="597"/>
      <c r="G142" s="533"/>
      <c r="H142" s="533"/>
      <c r="I142" s="545"/>
      <c r="J142" s="533"/>
      <c r="K142" s="533"/>
      <c r="L142" s="533"/>
      <c r="P142" s="599"/>
      <c r="Q142" s="599"/>
      <c r="R142" s="599"/>
      <c r="S142" s="599"/>
    </row>
    <row r="143" spans="5:19" s="596" customFormat="1" x14ac:dyDescent="0.2">
      <c r="E143" s="590"/>
      <c r="F143" s="597"/>
      <c r="G143" s="533"/>
      <c r="H143" s="533"/>
      <c r="I143" s="545"/>
      <c r="J143" s="533"/>
      <c r="K143" s="533"/>
      <c r="L143" s="533"/>
      <c r="P143" s="599"/>
      <c r="Q143" s="599"/>
      <c r="R143" s="599"/>
      <c r="S143" s="599"/>
    </row>
    <row r="144" spans="5:19" s="596" customFormat="1" x14ac:dyDescent="0.2">
      <c r="E144" s="590"/>
      <c r="F144" s="597"/>
      <c r="G144" s="533"/>
      <c r="H144" s="533"/>
      <c r="I144" s="545"/>
      <c r="J144" s="533"/>
      <c r="K144" s="533"/>
      <c r="L144" s="533"/>
      <c r="P144" s="599"/>
      <c r="Q144" s="599"/>
      <c r="R144" s="599"/>
      <c r="S144" s="599"/>
    </row>
    <row r="145" spans="1:19" s="596" customFormat="1" x14ac:dyDescent="0.2">
      <c r="E145" s="590"/>
      <c r="F145" s="597"/>
      <c r="G145" s="533"/>
      <c r="H145" s="533"/>
      <c r="I145" s="545"/>
      <c r="J145" s="533"/>
      <c r="K145" s="533"/>
      <c r="L145" s="533"/>
      <c r="P145" s="599"/>
      <c r="Q145" s="599"/>
      <c r="R145" s="599"/>
      <c r="S145" s="599"/>
    </row>
    <row r="146" spans="1:19" s="596" customFormat="1" x14ac:dyDescent="0.2">
      <c r="E146" s="590"/>
      <c r="F146" s="597"/>
      <c r="G146" s="533"/>
      <c r="H146" s="533"/>
      <c r="I146" s="545"/>
      <c r="J146" s="533"/>
      <c r="K146" s="533"/>
      <c r="L146" s="533"/>
      <c r="P146" s="599"/>
      <c r="Q146" s="599"/>
      <c r="R146" s="599"/>
      <c r="S146" s="599"/>
    </row>
    <row r="147" spans="1:19" x14ac:dyDescent="0.2">
      <c r="A147" s="596"/>
      <c r="B147" s="596"/>
      <c r="C147" s="596"/>
      <c r="D147" s="596"/>
      <c r="E147" s="590"/>
      <c r="F147" s="597"/>
      <c r="G147" s="533"/>
      <c r="H147" s="533"/>
      <c r="I147" s="545"/>
      <c r="J147" s="533"/>
      <c r="K147" s="533"/>
      <c r="L147" s="533"/>
      <c r="M147" s="596"/>
      <c r="N147" s="596"/>
      <c r="O147" s="596"/>
      <c r="P147" s="599"/>
      <c r="Q147" s="599"/>
    </row>
    <row r="148" spans="1:19" x14ac:dyDescent="0.2">
      <c r="A148" s="596"/>
      <c r="B148" s="596"/>
      <c r="C148" s="596"/>
      <c r="D148" s="596"/>
      <c r="E148" s="590"/>
      <c r="F148" s="597"/>
      <c r="G148" s="533"/>
      <c r="H148" s="533"/>
      <c r="I148" s="545"/>
      <c r="J148" s="533"/>
      <c r="K148" s="533"/>
      <c r="L148" s="533"/>
      <c r="M148" s="596"/>
      <c r="N148" s="596"/>
      <c r="O148" s="596"/>
      <c r="P148" s="599"/>
      <c r="Q148" s="599"/>
    </row>
    <row r="149" spans="1:19" x14ac:dyDescent="0.2">
      <c r="A149" s="596"/>
      <c r="B149" s="596"/>
      <c r="C149" s="596"/>
      <c r="D149" s="596"/>
      <c r="E149" s="590"/>
      <c r="F149" s="597"/>
      <c r="G149" s="533"/>
      <c r="H149" s="533"/>
      <c r="I149" s="545"/>
      <c r="J149" s="533"/>
      <c r="K149" s="533"/>
      <c r="L149" s="533"/>
      <c r="M149" s="596"/>
      <c r="N149" s="596"/>
      <c r="O149" s="596"/>
      <c r="P149" s="599"/>
      <c r="Q149" s="599"/>
    </row>
    <row r="150" spans="1:19" x14ac:dyDescent="0.2">
      <c r="A150" s="596"/>
      <c r="B150" s="596"/>
      <c r="C150" s="596"/>
      <c r="D150" s="596"/>
      <c r="E150" s="590"/>
      <c r="F150" s="597"/>
      <c r="G150" s="533"/>
      <c r="H150" s="533"/>
      <c r="I150" s="545"/>
      <c r="J150" s="533"/>
      <c r="K150" s="533"/>
      <c r="L150" s="533"/>
      <c r="M150" s="596"/>
      <c r="N150" s="596"/>
      <c r="O150" s="596"/>
      <c r="P150" s="599"/>
      <c r="Q150" s="599"/>
    </row>
    <row r="151" spans="1:19" x14ac:dyDescent="0.2">
      <c r="A151" s="596"/>
      <c r="B151" s="596"/>
      <c r="C151" s="596"/>
      <c r="D151" s="596"/>
      <c r="E151" s="590"/>
      <c r="F151" s="597"/>
      <c r="G151" s="533"/>
      <c r="H151" s="533"/>
      <c r="I151" s="545"/>
      <c r="J151" s="533"/>
      <c r="K151" s="533"/>
      <c r="L151" s="533"/>
      <c r="M151" s="596"/>
      <c r="N151" s="596"/>
      <c r="O151" s="596"/>
      <c r="P151" s="599"/>
      <c r="Q151" s="599"/>
    </row>
    <row r="152" spans="1:19" x14ac:dyDescent="0.2">
      <c r="A152" s="596"/>
      <c r="B152" s="596"/>
      <c r="C152" s="596"/>
      <c r="D152" s="596"/>
      <c r="E152" s="590"/>
      <c r="F152" s="597"/>
      <c r="G152" s="533"/>
      <c r="H152" s="533"/>
      <c r="I152" s="545"/>
      <c r="J152" s="533"/>
      <c r="K152" s="533"/>
      <c r="L152" s="533"/>
      <c r="M152" s="596"/>
    </row>
    <row r="153" spans="1:19" x14ac:dyDescent="0.2">
      <c r="A153" s="596"/>
      <c r="B153" s="596"/>
      <c r="C153" s="596"/>
      <c r="D153" s="596"/>
      <c r="E153" s="590"/>
      <c r="F153" s="597"/>
      <c r="G153" s="533"/>
      <c r="H153" s="533"/>
      <c r="I153" s="545"/>
      <c r="J153" s="533"/>
      <c r="K153" s="533"/>
      <c r="L153" s="533"/>
      <c r="M153" s="596"/>
    </row>
    <row r="154" spans="1:19" x14ac:dyDescent="0.2">
      <c r="A154" s="596"/>
      <c r="B154" s="596"/>
      <c r="C154" s="596"/>
      <c r="D154" s="596"/>
      <c r="E154" s="590"/>
      <c r="F154" s="597"/>
      <c r="G154" s="533"/>
      <c r="H154" s="533"/>
      <c r="I154" s="545"/>
      <c r="J154" s="533"/>
      <c r="K154" s="533"/>
      <c r="L154" s="533"/>
      <c r="M154" s="596"/>
    </row>
    <row r="155" spans="1:19" x14ac:dyDescent="0.2">
      <c r="A155" s="596"/>
      <c r="B155" s="596"/>
      <c r="C155" s="596"/>
      <c r="D155" s="596"/>
      <c r="E155" s="590"/>
      <c r="F155" s="597"/>
      <c r="G155" s="533"/>
      <c r="H155" s="533"/>
      <c r="I155" s="545"/>
      <c r="J155" s="533"/>
      <c r="K155" s="533"/>
      <c r="L155" s="533"/>
      <c r="M155" s="596"/>
    </row>
    <row r="156" spans="1:19" x14ac:dyDescent="0.2">
      <c r="J156" s="533"/>
      <c r="K156" s="533"/>
      <c r="L156" s="533"/>
      <c r="M156" s="596"/>
    </row>
    <row r="157" spans="1:19" x14ac:dyDescent="0.2">
      <c r="J157" s="533"/>
      <c r="K157" s="533"/>
      <c r="L157" s="533"/>
      <c r="M157" s="596"/>
    </row>
    <row r="158" spans="1:19" x14ac:dyDescent="0.2">
      <c r="J158" s="533"/>
      <c r="K158" s="533"/>
      <c r="L158" s="533"/>
      <c r="M158" s="596"/>
    </row>
    <row r="159" spans="1:19" x14ac:dyDescent="0.2">
      <c r="J159" s="533"/>
      <c r="K159" s="533"/>
      <c r="L159" s="533"/>
      <c r="M159" s="596"/>
    </row>
    <row r="160" spans="1:19" x14ac:dyDescent="0.2">
      <c r="J160" s="533"/>
      <c r="K160" s="533"/>
      <c r="L160" s="533"/>
      <c r="M160" s="596"/>
    </row>
    <row r="161" spans="10:13" x14ac:dyDescent="0.2">
      <c r="J161" s="533"/>
      <c r="K161" s="533"/>
      <c r="L161" s="533"/>
      <c r="M161" s="596"/>
    </row>
    <row r="162" spans="10:13" x14ac:dyDescent="0.2">
      <c r="K162" s="533"/>
      <c r="L162" s="533"/>
      <c r="M162" s="596"/>
    </row>
    <row r="163" spans="10:13" x14ac:dyDescent="0.2">
      <c r="K163" s="533"/>
      <c r="L163" s="533"/>
      <c r="M163" s="596"/>
    </row>
    <row r="164" spans="10:13" x14ac:dyDescent="0.2">
      <c r="K164" s="533"/>
      <c r="L164" s="533"/>
      <c r="M164" s="596"/>
    </row>
    <row r="165" spans="10:13" x14ac:dyDescent="0.2">
      <c r="L165" s="533"/>
      <c r="M165" s="596"/>
    </row>
    <row r="166" spans="10:13" x14ac:dyDescent="0.2">
      <c r="L166" s="533"/>
      <c r="M166" s="596"/>
    </row>
    <row r="167" spans="10:13" x14ac:dyDescent="0.2">
      <c r="L167" s="533"/>
    </row>
    <row r="168" spans="10:13" x14ac:dyDescent="0.2">
      <c r="L168" s="533"/>
    </row>
    <row r="169" spans="10:13" x14ac:dyDescent="0.2">
      <c r="L169" s="533"/>
    </row>
  </sheetData>
  <mergeCells count="5">
    <mergeCell ref="A7:L7"/>
    <mergeCell ref="M7:O7"/>
    <mergeCell ref="U7:V7"/>
    <mergeCell ref="D9:F9"/>
    <mergeCell ref="H9:K9"/>
  </mergeCells>
  <conditionalFormatting sqref="Z9:Z57 P58:P74">
    <cfRule type="aboveAverage" dxfId="11" priority="1" aboveAverage="0" stdDev="1"/>
    <cfRule type="aboveAverage" dxfId="10" priority="2" stdDev="1"/>
  </conditionalFormatting>
  <dataValidations disablePrompts="1" count="1">
    <dataValidation type="list" allowBlank="1" showInputMessage="1" showErrorMessage="1" sqref="B5" xr:uid="{48E792E2-96E1-4E0A-B9AB-D32FDEC0E0FF}">
      <formula1>$AB$5:$AB$8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CE43-EE08-4A94-843A-3E12B2C09B79}">
  <dimension ref="A1:Z165"/>
  <sheetViews>
    <sheetView workbookViewId="0">
      <selection activeCell="I5" sqref="I5"/>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12" style="596" bestFit="1" customWidth="1"/>
    <col min="8" max="8" width="9.33203125" style="599" customWidth="1"/>
    <col min="9" max="9" width="12" style="596" bestFit="1" customWidth="1"/>
    <col min="10" max="10" width="8.44140625" style="596" bestFit="1" customWidth="1"/>
    <col min="11" max="11" width="8.44140625" style="590" bestFit="1" customWidth="1"/>
    <col min="12" max="12" width="13.6640625" style="597" bestFit="1" customWidth="1"/>
    <col min="13" max="13" width="6.33203125" style="533" bestFit="1" customWidth="1"/>
    <col min="14" max="14" width="5.6640625" style="533" bestFit="1" customWidth="1"/>
    <col min="15" max="15" width="5.88671875" style="545" bestFit="1" customWidth="1"/>
    <col min="16" max="16" width="5.88671875" style="426" bestFit="1" customWidth="1"/>
    <col min="17" max="17" width="14" style="593" bestFit="1" customWidth="1"/>
    <col min="18" max="18" width="6" style="593" bestFit="1" customWidth="1"/>
    <col min="19" max="19" width="8.6640625" style="593" bestFit="1" customWidth="1"/>
    <col min="20" max="21" width="17.33203125" style="533" bestFit="1" customWidth="1"/>
    <col min="22" max="22" width="9.33203125" style="533" bestFit="1" customWidth="1"/>
    <col min="23" max="27" width="5.33203125" style="533" customWidth="1"/>
    <col min="28" max="28" width="17" style="533" customWidth="1"/>
    <col min="29" max="16384" width="7.88671875" style="533"/>
  </cols>
  <sheetData>
    <row r="1" spans="1:24" s="369" customFormat="1" ht="13.2" x14ac:dyDescent="0.25">
      <c r="A1" s="361" t="s">
        <v>104</v>
      </c>
      <c r="B1" s="362" t="s">
        <v>159</v>
      </c>
      <c r="C1" s="363"/>
      <c r="D1" s="362"/>
      <c r="E1" s="364"/>
      <c r="F1" s="364"/>
      <c r="G1" s="365"/>
      <c r="H1" s="366" t="s">
        <v>105</v>
      </c>
      <c r="I1" s="367">
        <v>883</v>
      </c>
      <c r="J1" s="368"/>
      <c r="K1" s="362"/>
      <c r="L1" s="362"/>
      <c r="N1" s="370"/>
      <c r="P1" s="371"/>
      <c r="Q1" s="371"/>
      <c r="R1" s="371"/>
      <c r="S1" s="371"/>
    </row>
    <row r="2" spans="1:24" s="369" customFormat="1" ht="13.2" x14ac:dyDescent="0.25">
      <c r="A2" s="372" t="s">
        <v>106</v>
      </c>
      <c r="B2" s="362" t="s">
        <v>243</v>
      </c>
      <c r="C2" s="373"/>
      <c r="D2" s="362"/>
      <c r="E2" s="374"/>
      <c r="F2" s="374"/>
      <c r="G2" s="375"/>
      <c r="H2" s="376" t="s">
        <v>107</v>
      </c>
      <c r="I2" s="377">
        <v>868</v>
      </c>
      <c r="J2" s="378"/>
      <c r="K2" s="362"/>
      <c r="L2" s="362"/>
      <c r="N2" s="379"/>
      <c r="P2" s="371"/>
      <c r="Q2" s="371"/>
      <c r="R2" s="371"/>
      <c r="S2" s="371"/>
    </row>
    <row r="3" spans="1:24" s="383" customFormat="1" ht="11.25" customHeight="1" x14ac:dyDescent="0.25">
      <c r="A3" s="380" t="s">
        <v>108</v>
      </c>
      <c r="B3" s="632">
        <v>45784</v>
      </c>
      <c r="C3" s="373"/>
      <c r="D3" s="374"/>
      <c r="E3" s="374"/>
      <c r="F3" s="374"/>
      <c r="G3" s="375"/>
      <c r="H3" s="380" t="s">
        <v>109</v>
      </c>
      <c r="I3" s="386">
        <f>V49/100</f>
        <v>8.68</v>
      </c>
      <c r="J3" s="378"/>
      <c r="K3" s="362"/>
      <c r="L3" s="362"/>
      <c r="N3" s="384"/>
      <c r="P3" s="385"/>
      <c r="Q3" s="385"/>
      <c r="R3" s="385"/>
      <c r="S3" s="385"/>
    </row>
    <row r="4" spans="1:24" s="369" customFormat="1" ht="13.2" x14ac:dyDescent="0.25">
      <c r="A4" s="380" t="s">
        <v>110</v>
      </c>
      <c r="B4" s="381" t="s">
        <v>200</v>
      </c>
      <c r="C4" s="373"/>
      <c r="D4" s="374"/>
      <c r="E4" s="374"/>
      <c r="F4" s="374"/>
      <c r="G4" s="375"/>
      <c r="H4" s="380" t="s">
        <v>111</v>
      </c>
      <c r="I4" s="386">
        <f>(R39+(P40*0.065))/8.68</f>
        <v>0.45912197573440999</v>
      </c>
      <c r="J4" s="378"/>
      <c r="K4" s="362"/>
      <c r="L4" s="362"/>
      <c r="M4" s="370"/>
      <c r="N4" s="370"/>
      <c r="P4" s="371"/>
      <c r="Q4" s="371"/>
      <c r="R4" s="371"/>
      <c r="S4" s="371"/>
    </row>
    <row r="5" spans="1:24" s="390" customFormat="1" ht="13.2" x14ac:dyDescent="0.25">
      <c r="A5" s="372" t="s">
        <v>112</v>
      </c>
      <c r="B5" s="387" t="s">
        <v>113</v>
      </c>
      <c r="C5" s="373"/>
      <c r="D5" s="374"/>
      <c r="E5" s="374"/>
      <c r="F5" s="374"/>
      <c r="G5" s="375"/>
      <c r="H5" s="380" t="s">
        <v>272</v>
      </c>
      <c r="I5" s="899">
        <f>I2*I4/100</f>
        <v>3.9851787493746786</v>
      </c>
      <c r="J5" s="378"/>
      <c r="K5" s="362"/>
      <c r="L5" s="362"/>
      <c r="M5" s="389"/>
      <c r="N5" s="389"/>
      <c r="P5" s="391"/>
      <c r="Q5" s="391"/>
      <c r="R5" s="391"/>
      <c r="S5" s="391"/>
    </row>
    <row r="6" spans="1:24" s="389" customFormat="1" ht="13.8" thickBot="1" x14ac:dyDescent="0.25">
      <c r="A6" s="392"/>
      <c r="B6" s="393"/>
      <c r="C6" s="394"/>
      <c r="D6" s="395"/>
      <c r="E6" s="395"/>
      <c r="F6" s="395"/>
      <c r="G6" s="396"/>
      <c r="H6" s="397"/>
      <c r="I6" s="398"/>
      <c r="J6" s="396"/>
      <c r="K6" s="393"/>
      <c r="L6" s="393"/>
      <c r="M6" s="399"/>
      <c r="P6" s="400"/>
      <c r="Q6" s="400"/>
      <c r="R6" s="400"/>
      <c r="S6" s="400"/>
    </row>
    <row r="7" spans="1:24" s="390" customFormat="1" ht="13.2" customHeight="1" x14ac:dyDescent="0.2">
      <c r="A7" s="952" t="s">
        <v>114</v>
      </c>
      <c r="B7" s="953"/>
      <c r="C7" s="953"/>
      <c r="D7" s="953"/>
      <c r="E7" s="953"/>
      <c r="F7" s="953"/>
      <c r="G7" s="953"/>
      <c r="H7" s="953"/>
      <c r="I7" s="953"/>
      <c r="J7" s="953"/>
      <c r="K7" s="953"/>
      <c r="L7" s="953"/>
      <c r="M7" s="954" t="s">
        <v>115</v>
      </c>
      <c r="N7" s="955"/>
      <c r="O7" s="956"/>
      <c r="P7" s="401" t="s">
        <v>116</v>
      </c>
      <c r="Q7" s="402"/>
      <c r="R7" s="401" t="s">
        <v>117</v>
      </c>
      <c r="S7" s="401"/>
      <c r="T7" s="403"/>
      <c r="U7" s="950" t="s">
        <v>118</v>
      </c>
      <c r="V7" s="951"/>
      <c r="W7" s="389"/>
      <c r="X7" s="389"/>
    </row>
    <row r="8" spans="1:24" s="420" customFormat="1" x14ac:dyDescent="0.2">
      <c r="A8" s="404"/>
      <c r="B8" s="399"/>
      <c r="C8" s="405"/>
      <c r="D8" s="406"/>
      <c r="E8" s="407"/>
      <c r="F8" s="408"/>
      <c r="G8" s="409"/>
      <c r="H8" s="410"/>
      <c r="I8" s="410"/>
      <c r="J8" s="410"/>
      <c r="K8" s="410"/>
      <c r="L8" s="411"/>
      <c r="M8" s="412"/>
      <c r="N8" s="413"/>
      <c r="O8" s="414"/>
      <c r="P8" s="415"/>
      <c r="Q8" s="416"/>
      <c r="R8" s="415"/>
      <c r="S8" s="415"/>
      <c r="T8" s="417"/>
      <c r="U8" s="418"/>
      <c r="V8" s="418"/>
      <c r="W8" s="419"/>
    </row>
    <row r="9" spans="1:24" s="431" customFormat="1" ht="13.2" customHeight="1" x14ac:dyDescent="0.2">
      <c r="A9" s="421"/>
      <c r="B9" s="389"/>
      <c r="C9" s="422"/>
      <c r="D9" s="957" t="s">
        <v>119</v>
      </c>
      <c r="E9" s="958"/>
      <c r="F9" s="959"/>
      <c r="G9" s="423"/>
      <c r="H9" s="960" t="s">
        <v>120</v>
      </c>
      <c r="I9" s="961"/>
      <c r="J9" s="961"/>
      <c r="K9" s="962"/>
      <c r="L9" s="836"/>
      <c r="M9" s="425"/>
      <c r="N9" s="413" t="s">
        <v>121</v>
      </c>
      <c r="O9" s="414"/>
      <c r="P9" s="415"/>
      <c r="Q9" s="416"/>
      <c r="R9" s="426"/>
      <c r="S9" s="426"/>
      <c r="T9" s="417"/>
      <c r="U9" s="427"/>
      <c r="V9" s="428"/>
      <c r="W9" s="429"/>
      <c r="X9" s="430"/>
    </row>
    <row r="10" spans="1:24" s="431" customFormat="1" x14ac:dyDescent="0.2">
      <c r="A10" s="432" t="s">
        <v>122</v>
      </c>
      <c r="B10" s="433" t="s">
        <v>51</v>
      </c>
      <c r="C10" s="434" t="s">
        <v>123</v>
      </c>
      <c r="D10" s="435" t="s">
        <v>124</v>
      </c>
      <c r="E10" s="436" t="s">
        <v>125</v>
      </c>
      <c r="F10" s="437" t="s">
        <v>126</v>
      </c>
      <c r="G10" s="423" t="s">
        <v>127</v>
      </c>
      <c r="H10" s="837" t="s">
        <v>128</v>
      </c>
      <c r="I10" s="837" t="s">
        <v>129</v>
      </c>
      <c r="J10" s="837" t="s">
        <v>130</v>
      </c>
      <c r="K10" s="837" t="s">
        <v>131</v>
      </c>
      <c r="L10" s="836" t="s">
        <v>132</v>
      </c>
      <c r="M10" s="439" t="s">
        <v>133</v>
      </c>
      <c r="N10" s="440" t="s">
        <v>134</v>
      </c>
      <c r="O10" s="441" t="s">
        <v>135</v>
      </c>
      <c r="P10" s="442" t="s">
        <v>136</v>
      </c>
      <c r="Q10" s="416" t="s">
        <v>137</v>
      </c>
      <c r="R10" s="442" t="s">
        <v>137</v>
      </c>
      <c r="S10" s="442" t="s">
        <v>136</v>
      </c>
      <c r="T10" s="443" t="s">
        <v>138</v>
      </c>
      <c r="U10" s="427" t="s">
        <v>139</v>
      </c>
      <c r="V10" s="427" t="s">
        <v>140</v>
      </c>
      <c r="W10" s="444"/>
    </row>
    <row r="11" spans="1:24" s="431" customFormat="1" ht="12" thickBot="1" x14ac:dyDescent="0.25">
      <c r="A11" s="445" t="s">
        <v>141</v>
      </c>
      <c r="B11" s="446" t="s">
        <v>141</v>
      </c>
      <c r="C11" s="447" t="s">
        <v>142</v>
      </c>
      <c r="D11" s="448" t="s">
        <v>143</v>
      </c>
      <c r="E11" s="449" t="s">
        <v>143</v>
      </c>
      <c r="F11" s="450" t="s">
        <v>143</v>
      </c>
      <c r="G11" s="451" t="s">
        <v>143</v>
      </c>
      <c r="H11" s="452" t="s">
        <v>143</v>
      </c>
      <c r="I11" s="452" t="s">
        <v>143</v>
      </c>
      <c r="J11" s="452" t="s">
        <v>143</v>
      </c>
      <c r="K11" s="452" t="s">
        <v>143</v>
      </c>
      <c r="L11" s="453" t="s">
        <v>143</v>
      </c>
      <c r="M11" s="454" t="s">
        <v>144</v>
      </c>
      <c r="N11" s="455" t="s">
        <v>142</v>
      </c>
      <c r="O11" s="456" t="s">
        <v>142</v>
      </c>
      <c r="P11" s="457" t="s">
        <v>145</v>
      </c>
      <c r="Q11" s="458" t="s">
        <v>146</v>
      </c>
      <c r="R11" s="459" t="s">
        <v>36</v>
      </c>
      <c r="S11" s="459" t="s">
        <v>147</v>
      </c>
      <c r="T11" s="460"/>
      <c r="U11" s="461"/>
      <c r="V11" s="462" t="s">
        <v>143</v>
      </c>
      <c r="W11" s="444"/>
    </row>
    <row r="12" spans="1:2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71"/>
      <c r="N12" s="472"/>
      <c r="O12" s="473"/>
      <c r="P12" s="474"/>
      <c r="Q12" s="475"/>
      <c r="R12" s="476"/>
      <c r="S12" s="477"/>
      <c r="T12" s="478"/>
      <c r="U12" s="479" t="s">
        <v>184</v>
      </c>
      <c r="V12" s="480">
        <v>868</v>
      </c>
      <c r="W12" s="481"/>
    </row>
    <row r="13" spans="1:24" s="431" customFormat="1" x14ac:dyDescent="0.3">
      <c r="A13" s="482">
        <v>250</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(C13+C14-10)/2</f>
        <v>10</v>
      </c>
      <c r="P13" s="491">
        <f t="shared" ref="P13:P18" si="0">(A13-B13)/M13</f>
        <v>0.25</v>
      </c>
      <c r="Q13" s="492">
        <f t="shared" ref="Q13:Q18" si="1">(P13*(O13-N13))/100</f>
        <v>2.5000000000000001E-2</v>
      </c>
      <c r="R13" s="493">
        <f>SUM(Q$13:Q13)</f>
        <v>2.5000000000000001E-2</v>
      </c>
      <c r="S13" s="494">
        <f t="shared" ref="S13:S18" si="2">R13/O13*100</f>
        <v>0.25</v>
      </c>
      <c r="T13" s="495"/>
      <c r="U13" s="496"/>
      <c r="V13" s="497"/>
      <c r="W13" s="444"/>
    </row>
    <row r="14" spans="1:24" s="431" customFormat="1" x14ac:dyDescent="0.3">
      <c r="A14" s="482">
        <v>245</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(C13+C14-10)/2</f>
        <v>10</v>
      </c>
      <c r="O14" s="490">
        <f>(C14+C15-10)/2</f>
        <v>20</v>
      </c>
      <c r="P14" s="491">
        <f t="shared" si="0"/>
        <v>0.245</v>
      </c>
      <c r="Q14" s="492">
        <f t="shared" si="1"/>
        <v>2.4500000000000001E-2</v>
      </c>
      <c r="R14" s="493">
        <f>SUM(Q$13:Q14)</f>
        <v>4.9500000000000002E-2</v>
      </c>
      <c r="S14" s="494">
        <f t="shared" si="2"/>
        <v>0.24750000000000003</v>
      </c>
      <c r="T14" s="495"/>
      <c r="U14" s="496"/>
      <c r="V14" s="497"/>
      <c r="W14" s="444"/>
    </row>
    <row r="15" spans="1:24" s="431" customFormat="1" x14ac:dyDescent="0.3">
      <c r="A15" s="482">
        <v>265</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(C14+C15-10)/2</f>
        <v>20</v>
      </c>
      <c r="O15" s="490">
        <f>(C15+C16-10)/2</f>
        <v>30</v>
      </c>
      <c r="P15" s="491">
        <f t="shared" si="0"/>
        <v>0.26500000000000001</v>
      </c>
      <c r="Q15" s="492">
        <f t="shared" si="1"/>
        <v>2.6500000000000003E-2</v>
      </c>
      <c r="R15" s="493">
        <f>SUM(Q$13:Q15)</f>
        <v>7.6000000000000012E-2</v>
      </c>
      <c r="S15" s="494">
        <f t="shared" si="2"/>
        <v>0.25333333333333335</v>
      </c>
      <c r="T15" s="495"/>
      <c r="U15" s="496"/>
      <c r="V15" s="498"/>
      <c r="W15" s="444"/>
    </row>
    <row r="16" spans="1:24" s="431" customFormat="1" x14ac:dyDescent="0.3">
      <c r="A16" s="499">
        <v>280</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(C15+C16-10)/2</f>
        <v>30</v>
      </c>
      <c r="O16" s="490">
        <f>(C16+C17-10)/2</f>
        <v>40</v>
      </c>
      <c r="P16" s="491">
        <f t="shared" si="0"/>
        <v>0.28000000000000003</v>
      </c>
      <c r="Q16" s="492">
        <f t="shared" si="1"/>
        <v>2.8000000000000004E-2</v>
      </c>
      <c r="R16" s="493">
        <f>SUM(Q$13:Q16)</f>
        <v>0.10400000000000001</v>
      </c>
      <c r="S16" s="494">
        <f t="shared" si="2"/>
        <v>0.26</v>
      </c>
      <c r="T16" s="495"/>
      <c r="U16" s="496"/>
      <c r="V16" s="497"/>
      <c r="W16" s="444"/>
    </row>
    <row r="17" spans="1:26" s="431" customFormat="1" x14ac:dyDescent="0.3">
      <c r="A17" s="499">
        <v>310</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(C16+C17-10)/2</f>
        <v>40</v>
      </c>
      <c r="O17" s="490">
        <f>(C17+C18-10)/2</f>
        <v>50</v>
      </c>
      <c r="P17" s="491">
        <f t="shared" si="0"/>
        <v>0.31</v>
      </c>
      <c r="Q17" s="492">
        <f t="shared" si="1"/>
        <v>3.1E-2</v>
      </c>
      <c r="R17" s="493">
        <f>SUM(Q$13:Q17)</f>
        <v>0.13500000000000001</v>
      </c>
      <c r="S17" s="494">
        <f t="shared" si="2"/>
        <v>0.27</v>
      </c>
      <c r="T17" s="495" t="s">
        <v>151</v>
      </c>
      <c r="U17" s="496"/>
      <c r="V17" s="497"/>
      <c r="W17" s="429"/>
    </row>
    <row r="18" spans="1:26" s="431" customFormat="1" x14ac:dyDescent="0.3">
      <c r="A18" s="499">
        <v>325</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(C17+C18-10)/2</f>
        <v>50</v>
      </c>
      <c r="O18" s="490">
        <f>(C18+C21-G21)/2</f>
        <v>64.25</v>
      </c>
      <c r="P18" s="491">
        <f t="shared" si="0"/>
        <v>0.32500000000000001</v>
      </c>
      <c r="Q18" s="492">
        <f t="shared" si="1"/>
        <v>4.6312500000000006E-2</v>
      </c>
      <c r="R18" s="493">
        <f>SUM(Q$13:Q18)</f>
        <v>0.18131250000000002</v>
      </c>
      <c r="S18" s="494">
        <f t="shared" si="2"/>
        <v>0.28219844357976659</v>
      </c>
      <c r="T18" s="500"/>
      <c r="U18" s="496"/>
      <c r="V18" s="497"/>
      <c r="W18" s="429"/>
    </row>
    <row r="19" spans="1:26" s="504" customFormat="1" ht="10.8" thickBot="1" x14ac:dyDescent="0.35">
      <c r="A19" s="507"/>
      <c r="B19" s="508"/>
      <c r="C19" s="509"/>
      <c r="D19" s="510"/>
      <c r="E19" s="509"/>
      <c r="F19" s="511"/>
      <c r="G19" s="512"/>
      <c r="H19" s="509"/>
      <c r="I19" s="509"/>
      <c r="J19" s="509"/>
      <c r="K19" s="509"/>
      <c r="L19" s="513"/>
      <c r="M19" s="509"/>
      <c r="N19" s="514"/>
      <c r="O19" s="515"/>
      <c r="P19" s="516"/>
      <c r="Q19" s="517"/>
      <c r="R19" s="518"/>
      <c r="S19" s="519"/>
      <c r="T19" s="520"/>
      <c r="U19" s="496"/>
      <c r="V19" s="521"/>
      <c r="W19" s="522"/>
    </row>
    <row r="20" spans="1:26" s="504" customFormat="1" x14ac:dyDescent="0.3">
      <c r="A20" s="523" t="s">
        <v>152</v>
      </c>
      <c r="B20" s="483"/>
      <c r="C20" s="471"/>
      <c r="D20" s="524"/>
      <c r="E20" s="471"/>
      <c r="F20" s="525"/>
      <c r="G20" s="526"/>
      <c r="H20" s="471"/>
      <c r="I20" s="471"/>
      <c r="J20" s="471"/>
      <c r="K20" s="471"/>
      <c r="L20" s="527"/>
      <c r="M20" s="471"/>
      <c r="N20" s="489"/>
      <c r="O20" s="490"/>
      <c r="P20" s="491"/>
      <c r="Q20" s="492"/>
      <c r="R20" s="493"/>
      <c r="S20" s="494"/>
      <c r="T20" s="505"/>
      <c r="U20" s="496"/>
      <c r="V20" s="521"/>
      <c r="W20" s="522"/>
    </row>
    <row r="21" spans="1:26" s="504" customFormat="1" x14ac:dyDescent="0.3">
      <c r="A21" s="499">
        <v>370</v>
      </c>
      <c r="B21" s="483">
        <v>0</v>
      </c>
      <c r="C21" s="471">
        <f>C22-D22</f>
        <v>109.7</v>
      </c>
      <c r="D21" s="528">
        <v>41.2</v>
      </c>
      <c r="E21" s="529"/>
      <c r="F21" s="530"/>
      <c r="G21" s="531">
        <f t="shared" ref="G21:G39" si="3">AVERAGE(D21:F21)</f>
        <v>41.2</v>
      </c>
      <c r="H21" s="529">
        <v>5.7</v>
      </c>
      <c r="I21" s="529"/>
      <c r="J21" s="529"/>
      <c r="K21" s="529"/>
      <c r="L21" s="532">
        <f>AVERAGE(H21:K21)</f>
        <v>5.7</v>
      </c>
      <c r="M21" s="471">
        <f>G21*    PI()* (L21/2)^2</f>
        <v>1051.3245567458637</v>
      </c>
      <c r="N21" s="489">
        <f>(C18+C21-G21)/2</f>
        <v>64.25</v>
      </c>
      <c r="O21" s="490">
        <f>(C21+C22-G22)/2</f>
        <v>109.69999999999999</v>
      </c>
      <c r="P21" s="491">
        <f>(A21-B21)/M21</f>
        <v>0.35193698998647094</v>
      </c>
      <c r="Q21" s="492">
        <f>(P21*(O21-N21))/100</f>
        <v>0.15995536194885099</v>
      </c>
      <c r="R21" s="493">
        <f>SUM(Q$13:Q21)</f>
        <v>0.341267861948851</v>
      </c>
      <c r="S21" s="494">
        <f>R21/O21*100</f>
        <v>0.31109194343559804</v>
      </c>
      <c r="T21" s="505"/>
      <c r="U21" s="496"/>
      <c r="V21" s="521"/>
      <c r="W21" s="522"/>
    </row>
    <row r="22" spans="1:26" s="504" customFormat="1" x14ac:dyDescent="0.3">
      <c r="A22" s="499">
        <v>485</v>
      </c>
      <c r="B22" s="483">
        <v>0</v>
      </c>
      <c r="C22" s="471">
        <v>157</v>
      </c>
      <c r="D22" s="528">
        <v>47.3</v>
      </c>
      <c r="E22" s="529"/>
      <c r="F22" s="530"/>
      <c r="G22" s="531">
        <f t="shared" si="3"/>
        <v>47.3</v>
      </c>
      <c r="H22" s="529">
        <v>5.7</v>
      </c>
      <c r="I22" s="529"/>
      <c r="J22" s="529"/>
      <c r="K22" s="529"/>
      <c r="L22" s="532">
        <f>AVERAGE(H22:K22)</f>
        <v>5.7</v>
      </c>
      <c r="M22" s="471">
        <f>G22*    PI()* (L22/2)^2</f>
        <v>1206.9818333514404</v>
      </c>
      <c r="N22" s="489">
        <f>(C21+C22-G22)/2</f>
        <v>109.69999999999999</v>
      </c>
      <c r="O22" s="490">
        <f>(C22+C23-G23)/2</f>
        <v>158.5</v>
      </c>
      <c r="P22" s="491">
        <f>(A22-B22)/M22</f>
        <v>0.40182874886633124</v>
      </c>
      <c r="Q22" s="492">
        <f t="shared" ref="Q22:Q40" si="4">(P22*(O22-N22))/100</f>
        <v>0.19609242944676969</v>
      </c>
      <c r="R22" s="493">
        <f>SUM(Q$13:Q22)</f>
        <v>0.53736029139562069</v>
      </c>
      <c r="S22" s="494">
        <f t="shared" ref="S22:S40" si="5">R22/O22*100</f>
        <v>0.33902857501300987</v>
      </c>
      <c r="T22" s="505"/>
      <c r="U22" s="496"/>
      <c r="V22" s="497"/>
      <c r="W22" s="522"/>
    </row>
    <row r="23" spans="1:26" s="504" customFormat="1" x14ac:dyDescent="0.3">
      <c r="A23" s="499">
        <v>215</v>
      </c>
      <c r="B23" s="483">
        <v>0</v>
      </c>
      <c r="C23" s="471">
        <f>C24-D24</f>
        <v>188</v>
      </c>
      <c r="D23" s="528">
        <v>28</v>
      </c>
      <c r="E23" s="529"/>
      <c r="F23" s="530"/>
      <c r="G23" s="531">
        <f t="shared" si="3"/>
        <v>28</v>
      </c>
      <c r="H23" s="529">
        <v>5.7</v>
      </c>
      <c r="I23" s="529"/>
      <c r="J23" s="529"/>
      <c r="K23" s="529"/>
      <c r="L23" s="532">
        <f>AVERAGE(H23:K23)</f>
        <v>5.7</v>
      </c>
      <c r="M23" s="471">
        <f>G23*    PI()* (L23/2)^2</f>
        <v>714.4924172059267</v>
      </c>
      <c r="N23" s="489">
        <f>(C22+C23-G23)/2</f>
        <v>158.5</v>
      </c>
      <c r="O23" s="490">
        <f>(C23+C24-G24)/2</f>
        <v>188</v>
      </c>
      <c r="P23" s="491">
        <f>(A23-B23)/M23</f>
        <v>0.30091292058881852</v>
      </c>
      <c r="Q23" s="492">
        <f t="shared" si="4"/>
        <v>8.8769311573701465E-2</v>
      </c>
      <c r="R23" s="493">
        <f>SUM(Q$13:Q23)</f>
        <v>0.62612960296932219</v>
      </c>
      <c r="S23" s="494">
        <f t="shared" si="5"/>
        <v>0.33304766115389478</v>
      </c>
      <c r="T23" s="505"/>
      <c r="U23" s="496"/>
      <c r="V23" s="497"/>
      <c r="W23" s="522"/>
    </row>
    <row r="24" spans="1:26" s="504" customFormat="1" x14ac:dyDescent="0.3">
      <c r="A24" s="499">
        <v>540</v>
      </c>
      <c r="B24" s="483">
        <v>0</v>
      </c>
      <c r="C24" s="471">
        <v>241</v>
      </c>
      <c r="D24" s="528">
        <v>53</v>
      </c>
      <c r="E24" s="529"/>
      <c r="F24" s="530"/>
      <c r="G24" s="531">
        <f t="shared" si="3"/>
        <v>53</v>
      </c>
      <c r="H24" s="529">
        <v>5.7</v>
      </c>
      <c r="I24" s="529"/>
      <c r="J24" s="529"/>
      <c r="K24" s="529"/>
      <c r="L24" s="532">
        <f>AVERAGE(H24:K24)</f>
        <v>5.7</v>
      </c>
      <c r="M24" s="471">
        <f>G24*    PI()* (L24/2)^2</f>
        <v>1352.4320754255041</v>
      </c>
      <c r="N24" s="489">
        <f>(C23+C24-G24)/2</f>
        <v>188</v>
      </c>
      <c r="O24" s="490">
        <f>(C24+C25-G25)/2</f>
        <v>241</v>
      </c>
      <c r="P24" s="491">
        <f>(A24-B24)/M24</f>
        <v>0.399280680939266</v>
      </c>
      <c r="Q24" s="492">
        <f t="shared" si="4"/>
        <v>0.21161876089781098</v>
      </c>
      <c r="R24" s="493">
        <f>SUM(Q$13:Q24)</f>
        <v>0.83774836386713314</v>
      </c>
      <c r="S24" s="494">
        <f t="shared" si="5"/>
        <v>0.34761342899051167</v>
      </c>
      <c r="T24" s="505"/>
      <c r="U24" s="496"/>
      <c r="V24" s="497"/>
      <c r="W24" s="522"/>
    </row>
    <row r="25" spans="1:26" x14ac:dyDescent="0.2">
      <c r="A25" s="499">
        <v>420</v>
      </c>
      <c r="B25" s="483">
        <v>0</v>
      </c>
      <c r="C25" s="471">
        <f>C26-D26</f>
        <v>285</v>
      </c>
      <c r="D25" s="528">
        <v>44</v>
      </c>
      <c r="E25" s="529"/>
      <c r="F25" s="530"/>
      <c r="G25" s="531">
        <f t="shared" si="3"/>
        <v>44</v>
      </c>
      <c r="H25" s="529">
        <v>5.7</v>
      </c>
      <c r="I25" s="529"/>
      <c r="J25" s="529"/>
      <c r="K25" s="529"/>
      <c r="L25" s="532">
        <f t="shared" ref="L25:L32" si="6">AVERAGE(H25:K25)</f>
        <v>5.7</v>
      </c>
      <c r="M25" s="471">
        <f t="shared" ref="M25:M32" si="7">G25*    PI()* (L25/2)^2</f>
        <v>1122.7737984664561</v>
      </c>
      <c r="N25" s="489">
        <f t="shared" ref="N25:N32" si="8">(C24+C25-G25)/2</f>
        <v>241</v>
      </c>
      <c r="O25" s="490">
        <f t="shared" ref="O25:O39" si="9">(C25+C26-G26)/2</f>
        <v>285</v>
      </c>
      <c r="P25" s="491">
        <f t="shared" ref="P25:P32" si="10">(A25-B25)/M25</f>
        <v>0.3740735672436053</v>
      </c>
      <c r="Q25" s="492">
        <f t="shared" si="4"/>
        <v>0.16459236958718634</v>
      </c>
      <c r="R25" s="493">
        <f>SUM(Q$13:Q25)</f>
        <v>1.0023407334543195</v>
      </c>
      <c r="S25" s="494">
        <f t="shared" si="5"/>
        <v>0.35169850296642791</v>
      </c>
      <c r="T25" s="505"/>
      <c r="U25" s="496"/>
      <c r="V25" s="497"/>
      <c r="W25" s="522"/>
      <c r="X25" s="504"/>
      <c r="Y25" s="504"/>
    </row>
    <row r="26" spans="1:26" x14ac:dyDescent="0.2">
      <c r="A26" s="499">
        <v>500</v>
      </c>
      <c r="B26" s="483">
        <v>0</v>
      </c>
      <c r="C26" s="471">
        <v>330</v>
      </c>
      <c r="D26" s="528">
        <v>45</v>
      </c>
      <c r="E26" s="529"/>
      <c r="F26" s="530"/>
      <c r="G26" s="531">
        <f t="shared" si="3"/>
        <v>45</v>
      </c>
      <c r="H26" s="529">
        <v>5.7</v>
      </c>
      <c r="I26" s="529"/>
      <c r="J26" s="529"/>
      <c r="K26" s="529"/>
      <c r="L26" s="532">
        <f t="shared" si="6"/>
        <v>5.7</v>
      </c>
      <c r="M26" s="471">
        <f t="shared" si="7"/>
        <v>1148.2913847952393</v>
      </c>
      <c r="N26" s="489">
        <f t="shared" si="8"/>
        <v>285</v>
      </c>
      <c r="O26" s="490">
        <f t="shared" si="9"/>
        <v>329.5</v>
      </c>
      <c r="P26" s="491">
        <f t="shared" si="10"/>
        <v>0.43542954917245058</v>
      </c>
      <c r="Q26" s="492">
        <f t="shared" si="4"/>
        <v>0.1937661493817405</v>
      </c>
      <c r="R26" s="493">
        <f>SUM(Q$13:Q26)</f>
        <v>1.1961068828360599</v>
      </c>
      <c r="S26" s="494">
        <f t="shared" si="5"/>
        <v>0.36300664122490439</v>
      </c>
      <c r="T26" s="505"/>
      <c r="U26" s="496"/>
      <c r="V26" s="497"/>
      <c r="W26" s="522"/>
      <c r="X26" s="504"/>
      <c r="Y26" s="504"/>
    </row>
    <row r="27" spans="1:26" x14ac:dyDescent="0.2">
      <c r="A27" s="499">
        <v>490</v>
      </c>
      <c r="B27" s="483">
        <v>0</v>
      </c>
      <c r="C27" s="471">
        <f>C28-D28</f>
        <v>371</v>
      </c>
      <c r="D27" s="528">
        <v>42</v>
      </c>
      <c r="E27" s="529"/>
      <c r="F27" s="530"/>
      <c r="G27" s="531">
        <f t="shared" si="3"/>
        <v>42</v>
      </c>
      <c r="H27" s="529">
        <v>5.7</v>
      </c>
      <c r="I27" s="529"/>
      <c r="J27" s="529"/>
      <c r="K27" s="529"/>
      <c r="L27" s="532">
        <f t="shared" si="6"/>
        <v>5.7</v>
      </c>
      <c r="M27" s="471">
        <f t="shared" si="7"/>
        <v>1071.73862580889</v>
      </c>
      <c r="N27" s="489">
        <f t="shared" si="8"/>
        <v>329.5</v>
      </c>
      <c r="O27" s="490">
        <f t="shared" si="9"/>
        <v>371</v>
      </c>
      <c r="P27" s="491">
        <f t="shared" si="10"/>
        <v>0.45720102663107309</v>
      </c>
      <c r="Q27" s="492">
        <f t="shared" si="4"/>
        <v>0.18973842605189531</v>
      </c>
      <c r="R27" s="493">
        <f>SUM(Q$13:Q27)</f>
        <v>1.3858453088879552</v>
      </c>
      <c r="S27" s="494">
        <f t="shared" si="5"/>
        <v>0.37354320994284507</v>
      </c>
      <c r="T27" s="505"/>
      <c r="U27" s="496"/>
      <c r="V27" s="497"/>
      <c r="W27" s="522"/>
      <c r="X27" s="504"/>
      <c r="Y27" s="504"/>
    </row>
    <row r="28" spans="1:26" x14ac:dyDescent="0.2">
      <c r="A28" s="499">
        <v>410</v>
      </c>
      <c r="B28" s="483">
        <v>0</v>
      </c>
      <c r="C28" s="471">
        <v>405</v>
      </c>
      <c r="D28" s="528">
        <v>34</v>
      </c>
      <c r="E28" s="529"/>
      <c r="F28" s="530"/>
      <c r="G28" s="531">
        <f t="shared" si="3"/>
        <v>34</v>
      </c>
      <c r="H28" s="529">
        <v>5.7</v>
      </c>
      <c r="I28" s="529"/>
      <c r="J28" s="529"/>
      <c r="K28" s="529"/>
      <c r="L28" s="532">
        <f t="shared" si="6"/>
        <v>5.7</v>
      </c>
      <c r="M28" s="471">
        <f t="shared" si="7"/>
        <v>867.59793517862533</v>
      </c>
      <c r="N28" s="489">
        <f t="shared" si="8"/>
        <v>371</v>
      </c>
      <c r="O28" s="490">
        <f t="shared" si="9"/>
        <v>403.5</v>
      </c>
      <c r="P28" s="491">
        <f t="shared" si="10"/>
        <v>0.47256912836657128</v>
      </c>
      <c r="Q28" s="492">
        <f t="shared" si="4"/>
        <v>0.15358496671913568</v>
      </c>
      <c r="R28" s="493">
        <f>SUM(Q$13:Q28)</f>
        <v>1.5394302756070908</v>
      </c>
      <c r="S28" s="494">
        <f t="shared" si="5"/>
        <v>0.38151927524339302</v>
      </c>
      <c r="T28" s="505"/>
      <c r="U28" s="496"/>
      <c r="V28" s="497"/>
      <c r="W28" s="522"/>
      <c r="X28" s="504"/>
      <c r="Y28" s="504"/>
    </row>
    <row r="29" spans="1:26" x14ac:dyDescent="0.2">
      <c r="A29" s="499">
        <v>500</v>
      </c>
      <c r="B29" s="483">
        <v>0</v>
      </c>
      <c r="C29" s="471">
        <f>C30-D30</f>
        <v>442.5</v>
      </c>
      <c r="D29" s="528">
        <v>40.5</v>
      </c>
      <c r="E29" s="529"/>
      <c r="F29" s="530"/>
      <c r="G29" s="531">
        <f t="shared" si="3"/>
        <v>40.5</v>
      </c>
      <c r="H29" s="529">
        <v>5.7</v>
      </c>
      <c r="I29" s="529"/>
      <c r="J29" s="529"/>
      <c r="K29" s="529"/>
      <c r="L29" s="532">
        <f t="shared" si="6"/>
        <v>5.7</v>
      </c>
      <c r="M29" s="471">
        <f t="shared" si="7"/>
        <v>1033.4622463157154</v>
      </c>
      <c r="N29" s="489">
        <f t="shared" si="8"/>
        <v>403.5</v>
      </c>
      <c r="O29" s="490">
        <f t="shared" si="9"/>
        <v>442.5</v>
      </c>
      <c r="P29" s="491">
        <f t="shared" si="10"/>
        <v>0.4838106101916117</v>
      </c>
      <c r="Q29" s="492">
        <f>(P29*(O29-N29))/100</f>
        <v>0.18868613797472858</v>
      </c>
      <c r="R29" s="493">
        <f>SUM(Q$13:Q29)</f>
        <v>1.7281164135818194</v>
      </c>
      <c r="S29" s="494">
        <f t="shared" si="5"/>
        <v>0.39053478273035469</v>
      </c>
      <c r="T29" s="505"/>
      <c r="U29" s="496"/>
      <c r="V29" s="497"/>
      <c r="W29" s="522"/>
      <c r="X29" s="504"/>
      <c r="Y29" s="504"/>
    </row>
    <row r="30" spans="1:26" x14ac:dyDescent="0.2">
      <c r="A30" s="499">
        <v>540</v>
      </c>
      <c r="B30" s="483">
        <v>0</v>
      </c>
      <c r="C30" s="471">
        <v>487</v>
      </c>
      <c r="D30" s="528">
        <v>44.5</v>
      </c>
      <c r="E30" s="529"/>
      <c r="F30" s="530"/>
      <c r="G30" s="531">
        <f t="shared" si="3"/>
        <v>44.5</v>
      </c>
      <c r="H30" s="529">
        <v>5.7</v>
      </c>
      <c r="I30" s="529"/>
      <c r="J30" s="529"/>
      <c r="K30" s="529"/>
      <c r="L30" s="532">
        <f t="shared" si="6"/>
        <v>5.7</v>
      </c>
      <c r="M30" s="471">
        <f t="shared" si="7"/>
        <v>1135.5325916308479</v>
      </c>
      <c r="N30" s="489">
        <f t="shared" si="8"/>
        <v>442.5</v>
      </c>
      <c r="O30" s="490">
        <f t="shared" si="9"/>
        <v>487.75</v>
      </c>
      <c r="P30" s="491">
        <f t="shared" si="10"/>
        <v>0.47554777729845155</v>
      </c>
      <c r="Q30" s="492">
        <f t="shared" si="4"/>
        <v>0.21518536922754933</v>
      </c>
      <c r="R30" s="493">
        <f>SUM(Q$13:Q30)</f>
        <v>1.9433017828093688</v>
      </c>
      <c r="S30" s="494">
        <f t="shared" si="5"/>
        <v>0.39842168791581112</v>
      </c>
      <c r="T30" s="505"/>
      <c r="U30" s="496"/>
      <c r="V30" s="497"/>
      <c r="W30" s="534"/>
    </row>
    <row r="31" spans="1:26" x14ac:dyDescent="0.2">
      <c r="A31" s="499">
        <v>710</v>
      </c>
      <c r="B31" s="483">
        <v>0</v>
      </c>
      <c r="C31" s="471">
        <f>C32-D32</f>
        <v>543.5</v>
      </c>
      <c r="D31" s="528">
        <v>55</v>
      </c>
      <c r="E31" s="529"/>
      <c r="F31" s="530"/>
      <c r="G31" s="531">
        <f t="shared" si="3"/>
        <v>55</v>
      </c>
      <c r="H31" s="529">
        <v>5.7</v>
      </c>
      <c r="I31" s="529"/>
      <c r="J31" s="529"/>
      <c r="K31" s="529"/>
      <c r="L31" s="532">
        <f t="shared" si="6"/>
        <v>5.7</v>
      </c>
      <c r="M31" s="471">
        <f t="shared" si="7"/>
        <v>1403.4672480830704</v>
      </c>
      <c r="N31" s="489">
        <f t="shared" si="8"/>
        <v>487.75</v>
      </c>
      <c r="O31" s="490">
        <f t="shared" si="9"/>
        <v>543.5</v>
      </c>
      <c r="P31" s="491">
        <f t="shared" si="10"/>
        <v>0.505889967129447</v>
      </c>
      <c r="Q31" s="492">
        <f t="shared" si="4"/>
        <v>0.28203365667466668</v>
      </c>
      <c r="R31" s="493">
        <f>SUM(Q$13:Q31)</f>
        <v>2.2253354394840357</v>
      </c>
      <c r="S31" s="494">
        <f t="shared" si="5"/>
        <v>0.4094453430513405</v>
      </c>
      <c r="T31" s="505"/>
      <c r="U31" s="496"/>
      <c r="V31" s="497"/>
      <c r="W31" s="535"/>
      <c r="X31" s="536"/>
      <c r="Y31" s="537"/>
      <c r="Z31" s="536"/>
    </row>
    <row r="32" spans="1:26" x14ac:dyDescent="0.2">
      <c r="A32" s="499">
        <v>370</v>
      </c>
      <c r="B32" s="483">
        <v>0</v>
      </c>
      <c r="C32" s="471">
        <v>571</v>
      </c>
      <c r="D32" s="528">
        <v>27.5</v>
      </c>
      <c r="E32" s="529"/>
      <c r="F32" s="530"/>
      <c r="G32" s="531">
        <f t="shared" si="3"/>
        <v>27.5</v>
      </c>
      <c r="H32" s="529">
        <v>5.7</v>
      </c>
      <c r="I32" s="529"/>
      <c r="J32" s="529"/>
      <c r="K32" s="529"/>
      <c r="L32" s="532">
        <f t="shared" si="6"/>
        <v>5.7</v>
      </c>
      <c r="M32" s="471">
        <f t="shared" si="7"/>
        <v>701.73362404153522</v>
      </c>
      <c r="N32" s="489">
        <f t="shared" si="8"/>
        <v>543.5</v>
      </c>
      <c r="O32" s="490">
        <f t="shared" si="9"/>
        <v>569.5</v>
      </c>
      <c r="P32" s="491">
        <f t="shared" si="10"/>
        <v>0.52726559954336738</v>
      </c>
      <c r="Q32" s="492">
        <f t="shared" si="4"/>
        <v>0.13708905588127551</v>
      </c>
      <c r="R32" s="493">
        <f>SUM(Q$13:Q32)</f>
        <v>2.3624244953653113</v>
      </c>
      <c r="S32" s="494">
        <f t="shared" si="5"/>
        <v>0.4148243187647605</v>
      </c>
      <c r="T32" s="505"/>
      <c r="U32" s="496"/>
      <c r="V32" s="497"/>
      <c r="W32" s="535"/>
      <c r="X32" s="536"/>
      <c r="Y32" s="538"/>
      <c r="Z32" s="536"/>
    </row>
    <row r="33" spans="1:26" x14ac:dyDescent="0.2">
      <c r="A33" s="499">
        <v>490</v>
      </c>
      <c r="B33" s="483">
        <v>0</v>
      </c>
      <c r="C33" s="471">
        <f>C34-D34</f>
        <v>604.5</v>
      </c>
      <c r="D33" s="528">
        <v>36.5</v>
      </c>
      <c r="E33" s="529"/>
      <c r="F33" s="530"/>
      <c r="G33" s="531">
        <f t="shared" si="3"/>
        <v>36.5</v>
      </c>
      <c r="H33" s="529">
        <v>5.7</v>
      </c>
      <c r="I33" s="529"/>
      <c r="J33" s="529"/>
      <c r="K33" s="529"/>
      <c r="L33" s="532">
        <f t="shared" ref="L33:L40" si="11">AVERAGE(H33:K33)</f>
        <v>5.7</v>
      </c>
      <c r="M33" s="471">
        <f t="shared" ref="M33:M39" si="12">G33*    PI()* (L33/2)^2</f>
        <v>931.39190100058295</v>
      </c>
      <c r="N33" s="489">
        <f t="shared" ref="N33:N40" si="13">(C32+C33-G33)/2</f>
        <v>569.5</v>
      </c>
      <c r="O33" s="490">
        <f t="shared" si="9"/>
        <v>604.5</v>
      </c>
      <c r="P33" s="491">
        <f t="shared" ref="P33:P39" si="14">(A33-B33)/M33</f>
        <v>0.5260943320138376</v>
      </c>
      <c r="Q33" s="492">
        <f t="shared" si="4"/>
        <v>0.18413301620484315</v>
      </c>
      <c r="R33" s="493">
        <f>SUM(Q$13:Q33)</f>
        <v>2.5465575115701546</v>
      </c>
      <c r="S33" s="494">
        <f t="shared" si="5"/>
        <v>0.4212667512936567</v>
      </c>
      <c r="T33" s="505"/>
      <c r="U33" s="496"/>
      <c r="V33" s="497"/>
      <c r="W33" s="539"/>
      <c r="X33" s="536"/>
      <c r="Y33" s="536"/>
      <c r="Z33" s="536"/>
    </row>
    <row r="34" spans="1:26" x14ac:dyDescent="0.2">
      <c r="A34" s="499">
        <v>560</v>
      </c>
      <c r="B34" s="483">
        <v>0</v>
      </c>
      <c r="C34" s="471">
        <v>646</v>
      </c>
      <c r="D34" s="528">
        <v>41.5</v>
      </c>
      <c r="E34" s="529"/>
      <c r="F34" s="530"/>
      <c r="G34" s="531">
        <f t="shared" si="3"/>
        <v>41.5</v>
      </c>
      <c r="H34" s="529">
        <v>5.7</v>
      </c>
      <c r="I34" s="529"/>
      <c r="J34" s="529"/>
      <c r="K34" s="529"/>
      <c r="L34" s="532">
        <f t="shared" si="11"/>
        <v>5.7</v>
      </c>
      <c r="M34" s="471">
        <f t="shared" si="12"/>
        <v>1058.9798326444986</v>
      </c>
      <c r="N34" s="489">
        <f t="shared" si="13"/>
        <v>604.5</v>
      </c>
      <c r="O34" s="490">
        <f t="shared" si="9"/>
        <v>645.25</v>
      </c>
      <c r="P34" s="491">
        <f t="shared" si="14"/>
        <v>0.52881082598292783</v>
      </c>
      <c r="Q34" s="492">
        <f t="shared" si="4"/>
        <v>0.21549041158804311</v>
      </c>
      <c r="R34" s="493">
        <f>SUM(Q$13:Q34)</f>
        <v>2.7620479231581978</v>
      </c>
      <c r="S34" s="494">
        <f t="shared" si="5"/>
        <v>0.42805857003614067</v>
      </c>
      <c r="T34" s="505"/>
      <c r="U34" s="496"/>
      <c r="V34" s="497"/>
      <c r="W34" s="540"/>
      <c r="X34" s="541"/>
    </row>
    <row r="35" spans="1:26" x14ac:dyDescent="0.2">
      <c r="A35" s="499">
        <v>580</v>
      </c>
      <c r="B35" s="483">
        <v>0</v>
      </c>
      <c r="C35" s="471">
        <f>C36-D36</f>
        <v>686.5</v>
      </c>
      <c r="D35" s="528">
        <v>42</v>
      </c>
      <c r="E35" s="529"/>
      <c r="F35" s="530"/>
      <c r="G35" s="531">
        <f t="shared" si="3"/>
        <v>42</v>
      </c>
      <c r="H35" s="529">
        <v>5.7</v>
      </c>
      <c r="I35" s="529"/>
      <c r="J35" s="529"/>
      <c r="K35" s="529"/>
      <c r="L35" s="532">
        <f t="shared" si="11"/>
        <v>5.7</v>
      </c>
      <c r="M35" s="471">
        <f t="shared" si="12"/>
        <v>1071.73862580889</v>
      </c>
      <c r="N35" s="489">
        <f t="shared" si="13"/>
        <v>645.25</v>
      </c>
      <c r="O35" s="490">
        <f t="shared" si="9"/>
        <v>686.5</v>
      </c>
      <c r="P35" s="491">
        <f t="shared" si="14"/>
        <v>0.54117672540004569</v>
      </c>
      <c r="Q35" s="492">
        <f t="shared" si="4"/>
        <v>0.22323539922751884</v>
      </c>
      <c r="R35" s="493">
        <f>SUM(Q$13:Q35)</f>
        <v>2.9852833223857167</v>
      </c>
      <c r="S35" s="494">
        <f t="shared" si="5"/>
        <v>0.43485554586827635</v>
      </c>
      <c r="T35" s="505"/>
      <c r="U35" s="496"/>
      <c r="V35" s="497"/>
      <c r="W35" s="541"/>
      <c r="X35" s="541"/>
    </row>
    <row r="36" spans="1:26" x14ac:dyDescent="0.2">
      <c r="A36" s="499">
        <v>575</v>
      </c>
      <c r="B36" s="483">
        <v>0</v>
      </c>
      <c r="C36" s="471">
        <v>728</v>
      </c>
      <c r="D36" s="528">
        <v>41.5</v>
      </c>
      <c r="E36" s="529"/>
      <c r="F36" s="530"/>
      <c r="G36" s="531">
        <f t="shared" si="3"/>
        <v>41.5</v>
      </c>
      <c r="H36" s="529">
        <v>5.7</v>
      </c>
      <c r="I36" s="529"/>
      <c r="J36" s="529"/>
      <c r="K36" s="529"/>
      <c r="L36" s="532">
        <f t="shared" si="11"/>
        <v>5.7</v>
      </c>
      <c r="M36" s="471">
        <f t="shared" si="12"/>
        <v>1058.9798326444986</v>
      </c>
      <c r="N36" s="489">
        <f t="shared" si="13"/>
        <v>686.5</v>
      </c>
      <c r="O36" s="490">
        <f t="shared" si="9"/>
        <v>727</v>
      </c>
      <c r="P36" s="491">
        <f t="shared" si="14"/>
        <v>0.54297540167889913</v>
      </c>
      <c r="Q36" s="492">
        <f t="shared" si="4"/>
        <v>0.21990503767995415</v>
      </c>
      <c r="R36" s="493">
        <f>SUM(Q$13:Q36)</f>
        <v>3.2051883600656708</v>
      </c>
      <c r="S36" s="494">
        <f t="shared" si="5"/>
        <v>0.44087872903241693</v>
      </c>
      <c r="T36" s="505"/>
      <c r="U36" s="496"/>
      <c r="V36" s="497"/>
    </row>
    <row r="37" spans="1:26" x14ac:dyDescent="0.2">
      <c r="A37" s="499">
        <v>370</v>
      </c>
      <c r="B37" s="483">
        <v>0</v>
      </c>
      <c r="C37" s="471">
        <f>C38-D38</f>
        <v>752.5</v>
      </c>
      <c r="D37" s="528">
        <v>26.5</v>
      </c>
      <c r="E37" s="529"/>
      <c r="F37" s="530"/>
      <c r="G37" s="531">
        <f t="shared" si="3"/>
        <v>26.5</v>
      </c>
      <c r="H37" s="529">
        <v>5.7</v>
      </c>
      <c r="I37" s="529"/>
      <c r="J37" s="529"/>
      <c r="K37" s="529"/>
      <c r="L37" s="532">
        <f t="shared" si="11"/>
        <v>5.7</v>
      </c>
      <c r="M37" s="471">
        <f t="shared" si="12"/>
        <v>676.21603771275204</v>
      </c>
      <c r="N37" s="489">
        <f t="shared" si="13"/>
        <v>727</v>
      </c>
      <c r="O37" s="490">
        <f t="shared" si="9"/>
        <v>752.5</v>
      </c>
      <c r="P37" s="491">
        <f t="shared" si="14"/>
        <v>0.54716241462047566</v>
      </c>
      <c r="Q37" s="492">
        <f t="shared" si="4"/>
        <v>0.1395264157282213</v>
      </c>
      <c r="R37" s="493">
        <f>SUM(Q$13:Q37)</f>
        <v>3.344714775793892</v>
      </c>
      <c r="S37" s="494">
        <f t="shared" si="5"/>
        <v>0.44448036887626474</v>
      </c>
      <c r="T37" s="505"/>
      <c r="U37" s="496"/>
      <c r="V37" s="497"/>
    </row>
    <row r="38" spans="1:26" x14ac:dyDescent="0.2">
      <c r="A38" s="499">
        <v>780</v>
      </c>
      <c r="B38" s="483">
        <v>0</v>
      </c>
      <c r="C38" s="471">
        <v>808</v>
      </c>
      <c r="D38" s="528">
        <v>55.5</v>
      </c>
      <c r="E38" s="529"/>
      <c r="F38" s="530"/>
      <c r="G38" s="531">
        <f t="shared" si="3"/>
        <v>55.5</v>
      </c>
      <c r="H38" s="529">
        <v>5.7</v>
      </c>
      <c r="I38" s="529"/>
      <c r="J38" s="529"/>
      <c r="K38" s="529"/>
      <c r="L38" s="532">
        <f t="shared" si="11"/>
        <v>5.7</v>
      </c>
      <c r="M38" s="471">
        <f t="shared" si="12"/>
        <v>1416.2260412474618</v>
      </c>
      <c r="N38" s="489">
        <f t="shared" si="13"/>
        <v>752.5</v>
      </c>
      <c r="O38" s="490">
        <f t="shared" si="9"/>
        <v>809.25</v>
      </c>
      <c r="P38" s="491">
        <f t="shared" si="14"/>
        <v>0.55075953787218068</v>
      </c>
      <c r="Q38" s="492">
        <f t="shared" si="4"/>
        <v>0.31255603774246254</v>
      </c>
      <c r="R38" s="493">
        <f>SUM(Q$13:Q38)</f>
        <v>3.6572708135363543</v>
      </c>
      <c r="S38" s="494">
        <f t="shared" si="5"/>
        <v>0.45193337207739936</v>
      </c>
      <c r="T38" s="505"/>
      <c r="U38" s="496"/>
      <c r="V38" s="497"/>
    </row>
    <row r="39" spans="1:26" x14ac:dyDescent="0.2">
      <c r="A39" s="499">
        <v>740</v>
      </c>
      <c r="B39" s="483">
        <v>0</v>
      </c>
      <c r="C39" s="471">
        <f>C40-D40</f>
        <v>861.5</v>
      </c>
      <c r="D39" s="528">
        <v>51</v>
      </c>
      <c r="E39" s="529"/>
      <c r="F39" s="530"/>
      <c r="G39" s="531">
        <f t="shared" si="3"/>
        <v>51</v>
      </c>
      <c r="H39" s="529">
        <v>5.7</v>
      </c>
      <c r="I39" s="529"/>
      <c r="J39" s="529"/>
      <c r="K39" s="529"/>
      <c r="L39" s="532">
        <f t="shared" si="11"/>
        <v>5.7</v>
      </c>
      <c r="M39" s="471">
        <f t="shared" si="12"/>
        <v>1301.3969027679379</v>
      </c>
      <c r="N39" s="489">
        <f t="shared" si="13"/>
        <v>809.25</v>
      </c>
      <c r="O39" s="490">
        <f t="shared" si="9"/>
        <v>861.5</v>
      </c>
      <c r="P39" s="491">
        <f t="shared" si="14"/>
        <v>0.56861976421343541</v>
      </c>
      <c r="Q39" s="492">
        <f t="shared" si="4"/>
        <v>0.29710382680152003</v>
      </c>
      <c r="R39" s="493">
        <f>SUM(Q$13:Q39)</f>
        <v>3.9543746403378743</v>
      </c>
      <c r="S39" s="494">
        <f t="shared" si="5"/>
        <v>0.45901040514659019</v>
      </c>
      <c r="T39" s="505"/>
      <c r="U39" s="496"/>
      <c r="V39" s="497"/>
    </row>
    <row r="40" spans="1:26" x14ac:dyDescent="0.2">
      <c r="A40" s="499">
        <v>260</v>
      </c>
      <c r="B40" s="483">
        <v>0</v>
      </c>
      <c r="C40" s="471">
        <v>883</v>
      </c>
      <c r="D40" s="528">
        <v>21.5</v>
      </c>
      <c r="E40" s="529"/>
      <c r="F40" s="530"/>
      <c r="G40" s="531">
        <v>21.5</v>
      </c>
      <c r="H40" s="529">
        <v>5.7</v>
      </c>
      <c r="I40" s="529"/>
      <c r="J40" s="529"/>
      <c r="K40" s="529"/>
      <c r="L40" s="532">
        <f t="shared" si="11"/>
        <v>5.7</v>
      </c>
      <c r="M40" s="471">
        <f>G40*    PI()* (L40/2)^2</f>
        <v>548.62810606883659</v>
      </c>
      <c r="N40" s="489">
        <f t="shared" si="13"/>
        <v>861.5</v>
      </c>
      <c r="O40" s="490">
        <f>C40</f>
        <v>883</v>
      </c>
      <c r="P40" s="491">
        <f>(A40-B40)/M40</f>
        <v>0.47390936979699266</v>
      </c>
      <c r="Q40" s="492">
        <f t="shared" si="4"/>
        <v>0.10189051450635342</v>
      </c>
      <c r="R40" s="493">
        <f>SUM(Q$13:Q40)</f>
        <v>4.0562651548442279</v>
      </c>
      <c r="S40" s="494">
        <f t="shared" si="5"/>
        <v>0.45937317721905185</v>
      </c>
      <c r="T40" s="505" t="s">
        <v>244</v>
      </c>
      <c r="U40" s="496"/>
      <c r="V40" s="497"/>
    </row>
    <row r="41" spans="1:26" x14ac:dyDescent="0.2">
      <c r="A41" s="499"/>
      <c r="B41" s="483"/>
      <c r="C41" s="471"/>
      <c r="D41" s="528"/>
      <c r="E41" s="529"/>
      <c r="F41" s="530"/>
      <c r="G41" s="531"/>
      <c r="H41" s="529"/>
      <c r="I41" s="529"/>
      <c r="J41" s="529"/>
      <c r="K41" s="529"/>
      <c r="L41" s="532"/>
      <c r="M41" s="471"/>
      <c r="N41" s="489"/>
      <c r="O41" s="490"/>
      <c r="P41" s="491"/>
      <c r="Q41" s="492"/>
      <c r="R41" s="493"/>
      <c r="S41" s="494"/>
      <c r="T41" s="505"/>
      <c r="U41" s="496"/>
      <c r="V41" s="497"/>
    </row>
    <row r="42" spans="1:26" x14ac:dyDescent="0.2">
      <c r="A42" s="499"/>
      <c r="B42" s="483"/>
      <c r="C42" s="471"/>
      <c r="D42" s="528"/>
      <c r="E42" s="529"/>
      <c r="F42" s="530"/>
      <c r="G42" s="531"/>
      <c r="H42" s="529"/>
      <c r="I42" s="529"/>
      <c r="J42" s="529"/>
      <c r="K42" s="529"/>
      <c r="L42" s="532"/>
      <c r="M42" s="471"/>
      <c r="N42" s="489"/>
      <c r="O42" s="490"/>
      <c r="P42" s="491"/>
      <c r="Q42" s="492"/>
      <c r="R42" s="493"/>
      <c r="S42" s="494"/>
      <c r="T42" s="505"/>
      <c r="U42" s="496"/>
      <c r="V42" s="497"/>
    </row>
    <row r="43" spans="1:26" x14ac:dyDescent="0.2">
      <c r="A43" s="499"/>
      <c r="B43" s="483"/>
      <c r="C43" s="471"/>
      <c r="D43" s="528"/>
      <c r="E43" s="529"/>
      <c r="F43" s="530"/>
      <c r="G43" s="531"/>
      <c r="H43" s="529"/>
      <c r="I43" s="529"/>
      <c r="J43" s="529"/>
      <c r="K43" s="529"/>
      <c r="L43" s="532"/>
      <c r="M43" s="471"/>
      <c r="N43" s="489"/>
      <c r="O43" s="490"/>
      <c r="P43" s="491"/>
      <c r="Q43" s="492"/>
      <c r="R43" s="493"/>
      <c r="S43" s="494"/>
      <c r="T43" s="505"/>
      <c r="U43" s="496"/>
      <c r="V43" s="497"/>
    </row>
    <row r="44" spans="1:26" x14ac:dyDescent="0.2">
      <c r="A44" s="499"/>
      <c r="B44" s="483"/>
      <c r="C44" s="471"/>
      <c r="D44" s="528"/>
      <c r="E44" s="529"/>
      <c r="F44" s="530"/>
      <c r="G44" s="531"/>
      <c r="H44" s="529"/>
      <c r="I44" s="529"/>
      <c r="J44" s="529"/>
      <c r="K44" s="529"/>
      <c r="L44" s="532"/>
      <c r="M44" s="471"/>
      <c r="N44" s="489"/>
      <c r="O44" s="490"/>
      <c r="P44" s="491"/>
      <c r="Q44" s="492"/>
      <c r="R44" s="493"/>
      <c r="S44" s="494"/>
      <c r="T44" s="505"/>
      <c r="U44" s="496"/>
      <c r="V44" s="497"/>
    </row>
    <row r="45" spans="1:26" x14ac:dyDescent="0.2">
      <c r="A45" s="499"/>
      <c r="B45" s="483"/>
      <c r="C45" s="471"/>
      <c r="D45" s="528"/>
      <c r="E45" s="529"/>
      <c r="F45" s="530"/>
      <c r="G45" s="531"/>
      <c r="H45" s="529"/>
      <c r="I45" s="529"/>
      <c r="J45" s="529"/>
      <c r="K45" s="529"/>
      <c r="L45" s="532"/>
      <c r="M45" s="471"/>
      <c r="N45" s="489"/>
      <c r="O45" s="490"/>
      <c r="P45" s="491"/>
      <c r="Q45" s="492"/>
      <c r="R45" s="493"/>
      <c r="S45" s="494"/>
      <c r="T45" s="505"/>
      <c r="U45" s="496"/>
      <c r="V45" s="497"/>
    </row>
    <row r="46" spans="1:26" x14ac:dyDescent="0.2">
      <c r="A46" s="499"/>
      <c r="B46" s="483"/>
      <c r="C46" s="471"/>
      <c r="D46" s="528"/>
      <c r="E46" s="529"/>
      <c r="F46" s="530"/>
      <c r="G46" s="531"/>
      <c r="H46" s="529"/>
      <c r="I46" s="529"/>
      <c r="J46" s="529"/>
      <c r="K46" s="529"/>
      <c r="L46" s="532"/>
      <c r="M46" s="471"/>
      <c r="N46" s="489"/>
      <c r="O46" s="490"/>
      <c r="P46" s="491"/>
      <c r="Q46" s="492"/>
      <c r="R46" s="493"/>
      <c r="S46" s="494"/>
      <c r="T46" s="505"/>
      <c r="U46" s="496"/>
      <c r="V46" s="497"/>
    </row>
    <row r="47" spans="1:26" x14ac:dyDescent="0.2">
      <c r="A47" s="499"/>
      <c r="B47" s="483"/>
      <c r="C47" s="471"/>
      <c r="D47" s="528"/>
      <c r="E47" s="529"/>
      <c r="F47" s="530"/>
      <c r="G47" s="531"/>
      <c r="H47" s="529"/>
      <c r="I47" s="529"/>
      <c r="J47" s="529"/>
      <c r="K47" s="529"/>
      <c r="L47" s="532"/>
      <c r="M47" s="471"/>
      <c r="N47" s="489"/>
      <c r="O47" s="490"/>
      <c r="P47" s="491"/>
      <c r="Q47" s="492"/>
      <c r="R47" s="493"/>
      <c r="S47" s="494"/>
      <c r="T47" s="505"/>
      <c r="U47" s="496"/>
      <c r="V47" s="497"/>
    </row>
    <row r="48" spans="1:26" ht="10.8" thickBot="1" x14ac:dyDescent="0.25">
      <c r="A48" s="499"/>
      <c r="B48" s="483"/>
      <c r="C48" s="471"/>
      <c r="D48" s="528"/>
      <c r="E48" s="529"/>
      <c r="F48" s="530"/>
      <c r="G48" s="531"/>
      <c r="H48" s="529"/>
      <c r="I48" s="529"/>
      <c r="J48" s="529"/>
      <c r="K48" s="529"/>
      <c r="L48" s="532"/>
      <c r="M48" s="471"/>
      <c r="N48" s="489"/>
      <c r="O48" s="490"/>
      <c r="P48" s="491"/>
      <c r="Q48" s="492"/>
      <c r="R48" s="493"/>
      <c r="S48" s="494"/>
      <c r="T48" s="505"/>
      <c r="U48" s="496"/>
      <c r="V48" s="542"/>
    </row>
    <row r="49" spans="1:26" x14ac:dyDescent="0.2">
      <c r="A49" s="499"/>
      <c r="B49" s="483"/>
      <c r="C49" s="471"/>
      <c r="D49" s="528"/>
      <c r="E49" s="529"/>
      <c r="F49" s="530"/>
      <c r="G49" s="531"/>
      <c r="H49" s="529"/>
      <c r="I49" s="529"/>
      <c r="J49" s="529"/>
      <c r="K49" s="529"/>
      <c r="L49" s="532"/>
      <c r="M49" s="471"/>
      <c r="N49" s="489"/>
      <c r="O49" s="490"/>
      <c r="P49" s="491"/>
      <c r="Q49" s="492"/>
      <c r="R49" s="493"/>
      <c r="S49" s="494"/>
      <c r="T49" s="505"/>
      <c r="U49" s="543" t="s">
        <v>153</v>
      </c>
      <c r="V49" s="544">
        <f>AVERAGE(V12:V48)</f>
        <v>868</v>
      </c>
    </row>
    <row r="50" spans="1:26" x14ac:dyDescent="0.2">
      <c r="A50" s="499"/>
      <c r="B50" s="483"/>
      <c r="C50" s="471"/>
      <c r="D50" s="528"/>
      <c r="E50" s="529"/>
      <c r="F50" s="530"/>
      <c r="G50" s="531"/>
      <c r="H50" s="529"/>
      <c r="I50" s="529"/>
      <c r="J50" s="529"/>
      <c r="K50" s="529"/>
      <c r="L50" s="532"/>
      <c r="M50" s="471"/>
      <c r="N50" s="489"/>
      <c r="O50" s="490"/>
      <c r="P50" s="491"/>
      <c r="Q50" s="492"/>
      <c r="R50" s="493"/>
      <c r="S50" s="494"/>
      <c r="T50" s="505"/>
      <c r="U50" s="370" t="s">
        <v>154</v>
      </c>
      <c r="V50" s="542" t="e">
        <f>STDEV(V12:V48)</f>
        <v>#DIV/0!</v>
      </c>
      <c r="W50" s="545"/>
      <c r="X50" s="545"/>
    </row>
    <row r="51" spans="1:26" x14ac:dyDescent="0.2">
      <c r="A51" s="546" t="s">
        <v>155</v>
      </c>
      <c r="B51" s="547"/>
      <c r="C51" s="548"/>
      <c r="D51" s="548"/>
      <c r="E51" s="548"/>
      <c r="F51" s="548"/>
      <c r="G51" s="549"/>
      <c r="H51" s="548"/>
      <c r="I51" s="548"/>
      <c r="J51" s="548"/>
      <c r="K51" s="548"/>
      <c r="L51" s="550"/>
      <c r="M51" s="548"/>
      <c r="N51" s="551"/>
      <c r="O51" s="552"/>
      <c r="P51" s="553"/>
      <c r="Q51" s="554"/>
      <c r="R51" s="555"/>
      <c r="S51" s="556"/>
      <c r="T51" s="557"/>
      <c r="U51" s="370" t="s">
        <v>156</v>
      </c>
      <c r="V51" s="542" t="e">
        <f>V50/SQRT(COUNT(V12:V47))</f>
        <v>#DIV/0!</v>
      </c>
      <c r="W51" s="540"/>
      <c r="X51" s="545"/>
      <c r="Y51" s="545"/>
      <c r="Z51" s="545"/>
    </row>
    <row r="52" spans="1:26" x14ac:dyDescent="0.2">
      <c r="A52" s="558"/>
      <c r="B52" s="559"/>
      <c r="C52" s="560"/>
      <c r="D52" s="560"/>
      <c r="E52" s="560"/>
      <c r="F52" s="560"/>
      <c r="G52" s="561"/>
      <c r="H52" s="560"/>
      <c r="I52" s="560"/>
      <c r="J52" s="560"/>
      <c r="K52" s="560"/>
      <c r="L52" s="562"/>
      <c r="M52" s="560"/>
      <c r="N52" s="563"/>
      <c r="O52" s="564"/>
      <c r="P52" s="565"/>
      <c r="Q52" s="566"/>
      <c r="R52" s="567"/>
      <c r="S52" s="568"/>
      <c r="T52" s="569"/>
      <c r="U52" s="370" t="s">
        <v>157</v>
      </c>
      <c r="V52" s="542">
        <f>MAX(V12:V48)</f>
        <v>868</v>
      </c>
      <c r="W52" s="540"/>
    </row>
    <row r="53" spans="1:26" ht="10.8" thickBot="1" x14ac:dyDescent="0.25">
      <c r="A53" s="570"/>
      <c r="B53" s="571"/>
      <c r="C53" s="572"/>
      <c r="D53" s="572"/>
      <c r="E53" s="572"/>
      <c r="F53" s="572"/>
      <c r="G53" s="573"/>
      <c r="H53" s="572"/>
      <c r="I53" s="572"/>
      <c r="J53" s="572"/>
      <c r="K53" s="572"/>
      <c r="L53" s="574"/>
      <c r="M53" s="572"/>
      <c r="N53" s="575"/>
      <c r="O53" s="576"/>
      <c r="P53" s="577"/>
      <c r="Q53" s="578"/>
      <c r="R53" s="579"/>
      <c r="S53" s="580"/>
      <c r="T53" s="581"/>
      <c r="U53" s="582" t="s">
        <v>158</v>
      </c>
      <c r="V53" s="583">
        <f>MIN(V12:V48)</f>
        <v>868</v>
      </c>
      <c r="W53" s="545"/>
    </row>
    <row r="54" spans="1:26" x14ac:dyDescent="0.2">
      <c r="A54" s="584"/>
      <c r="B54" s="584"/>
      <c r="C54" s="585"/>
      <c r="D54" s="586"/>
      <c r="E54" s="586"/>
      <c r="F54" s="586"/>
      <c r="G54" s="587"/>
      <c r="H54" s="588"/>
      <c r="I54" s="589"/>
      <c r="J54" s="590"/>
      <c r="K54" s="591"/>
      <c r="L54" s="592"/>
      <c r="M54" s="545"/>
      <c r="O54" s="533"/>
      <c r="P54" s="593"/>
    </row>
    <row r="55" spans="1:26" x14ac:dyDescent="0.2">
      <c r="A55" s="545"/>
      <c r="B55" s="545"/>
      <c r="C55" s="594"/>
      <c r="D55" s="594"/>
      <c r="E55" s="594"/>
      <c r="F55" s="594"/>
      <c r="G55" s="589"/>
      <c r="H55" s="588"/>
      <c r="I55" s="589"/>
      <c r="J55" s="590"/>
      <c r="K55" s="595"/>
      <c r="L55" s="592"/>
      <c r="M55" s="545"/>
      <c r="O55" s="533"/>
      <c r="P55" s="593"/>
    </row>
    <row r="56" spans="1:26" x14ac:dyDescent="0.2">
      <c r="A56" s="596"/>
      <c r="B56" s="596"/>
      <c r="C56" s="596"/>
      <c r="D56" s="596"/>
      <c r="E56" s="590"/>
      <c r="F56" s="597"/>
      <c r="G56" s="545"/>
      <c r="H56" s="533"/>
      <c r="I56" s="545"/>
      <c r="J56" s="533"/>
      <c r="K56" s="533"/>
      <c r="L56" s="545"/>
      <c r="M56" s="545"/>
      <c r="O56" s="533"/>
      <c r="P56" s="593"/>
    </row>
    <row r="57" spans="1:26" x14ac:dyDescent="0.2">
      <c r="A57" s="598"/>
      <c r="B57" s="598"/>
      <c r="C57" s="596"/>
      <c r="D57" s="596"/>
      <c r="E57" s="590"/>
      <c r="F57" s="597"/>
      <c r="G57" s="533"/>
      <c r="H57" s="533"/>
      <c r="I57" s="545"/>
      <c r="J57" s="533"/>
      <c r="K57" s="533"/>
      <c r="L57" s="545"/>
      <c r="M57" s="545"/>
      <c r="O57" s="533"/>
      <c r="P57" s="593"/>
    </row>
    <row r="58" spans="1:26" x14ac:dyDescent="0.2">
      <c r="A58" s="442"/>
      <c r="B58" s="442"/>
      <c r="C58" s="596"/>
      <c r="D58" s="596"/>
      <c r="E58" s="590"/>
      <c r="F58" s="597"/>
      <c r="G58" s="533"/>
      <c r="H58" s="533"/>
      <c r="I58" s="545"/>
      <c r="J58" s="533"/>
      <c r="K58" s="533"/>
      <c r="L58" s="545"/>
      <c r="M58" s="545"/>
      <c r="O58" s="533"/>
      <c r="P58" s="593"/>
    </row>
    <row r="59" spans="1:26" x14ac:dyDescent="0.2">
      <c r="A59" s="596"/>
      <c r="B59" s="596"/>
      <c r="C59" s="596"/>
      <c r="D59" s="596"/>
      <c r="E59" s="590"/>
      <c r="F59" s="597"/>
      <c r="G59" s="533"/>
      <c r="H59" s="533"/>
      <c r="I59" s="545"/>
      <c r="J59" s="533"/>
      <c r="K59" s="533"/>
      <c r="L59" s="545"/>
      <c r="M59" s="545"/>
      <c r="O59" s="533"/>
      <c r="P59" s="593"/>
    </row>
    <row r="60" spans="1:26" x14ac:dyDescent="0.2">
      <c r="A60" s="596"/>
      <c r="B60" s="596"/>
      <c r="C60" s="596"/>
      <c r="D60" s="596"/>
      <c r="E60" s="590"/>
      <c r="F60" s="597"/>
      <c r="G60" s="533"/>
      <c r="H60" s="533"/>
      <c r="I60" s="545"/>
      <c r="J60" s="589"/>
      <c r="K60" s="533"/>
      <c r="L60" s="545"/>
      <c r="M60" s="545"/>
      <c r="O60" s="533"/>
      <c r="P60" s="593"/>
    </row>
    <row r="61" spans="1:26" x14ac:dyDescent="0.2">
      <c r="A61" s="596"/>
      <c r="B61" s="596"/>
      <c r="C61" s="596"/>
      <c r="D61" s="596"/>
      <c r="E61" s="590"/>
      <c r="F61" s="597"/>
      <c r="G61" s="533"/>
      <c r="H61" s="533"/>
      <c r="I61" s="545"/>
      <c r="J61" s="589"/>
      <c r="K61" s="533"/>
      <c r="L61" s="545"/>
      <c r="M61" s="545"/>
      <c r="O61" s="533"/>
      <c r="P61" s="593"/>
    </row>
    <row r="62" spans="1:26" x14ac:dyDescent="0.2">
      <c r="A62" s="596"/>
      <c r="B62" s="596"/>
      <c r="C62" s="596"/>
      <c r="D62" s="596"/>
      <c r="E62" s="590"/>
      <c r="F62" s="597"/>
      <c r="G62" s="533"/>
      <c r="H62" s="533"/>
      <c r="I62" s="545"/>
      <c r="J62" s="533"/>
      <c r="K62" s="533"/>
      <c r="L62" s="545"/>
      <c r="M62" s="545"/>
      <c r="O62" s="533"/>
      <c r="P62" s="593"/>
    </row>
    <row r="63" spans="1:26" x14ac:dyDescent="0.2">
      <c r="A63" s="596"/>
      <c r="B63" s="596"/>
      <c r="C63" s="596"/>
      <c r="D63" s="596"/>
      <c r="E63" s="590"/>
      <c r="F63" s="597"/>
      <c r="G63" s="533"/>
      <c r="H63" s="533"/>
      <c r="I63" s="545"/>
      <c r="J63" s="533"/>
      <c r="K63" s="533"/>
      <c r="L63" s="545"/>
      <c r="M63" s="545"/>
      <c r="O63" s="533"/>
      <c r="P63" s="593"/>
    </row>
    <row r="64" spans="1:26" x14ac:dyDescent="0.2">
      <c r="A64" s="596"/>
      <c r="B64" s="596"/>
      <c r="C64" s="596"/>
      <c r="D64" s="596"/>
      <c r="E64" s="590"/>
      <c r="F64" s="597"/>
      <c r="G64" s="533"/>
      <c r="H64" s="533"/>
      <c r="I64" s="545"/>
      <c r="J64" s="533"/>
      <c r="K64" s="533"/>
      <c r="L64" s="545"/>
      <c r="M64" s="545"/>
      <c r="O64" s="533"/>
      <c r="P64" s="593"/>
    </row>
    <row r="65" spans="1:16" x14ac:dyDescent="0.2">
      <c r="A65" s="596"/>
      <c r="B65" s="596"/>
      <c r="C65" s="596"/>
      <c r="D65" s="596"/>
      <c r="E65" s="590"/>
      <c r="F65" s="597"/>
      <c r="G65" s="533"/>
      <c r="H65" s="533"/>
      <c r="I65" s="545"/>
      <c r="J65" s="533"/>
      <c r="K65" s="533"/>
      <c r="L65" s="545"/>
      <c r="M65" s="545"/>
      <c r="O65" s="533"/>
      <c r="P65" s="593"/>
    </row>
    <row r="66" spans="1:16" x14ac:dyDescent="0.2">
      <c r="A66" s="596"/>
      <c r="B66" s="596"/>
      <c r="C66" s="596"/>
      <c r="D66" s="596"/>
      <c r="E66" s="590"/>
      <c r="F66" s="597"/>
      <c r="G66" s="533"/>
      <c r="H66" s="533"/>
      <c r="I66" s="545"/>
      <c r="J66" s="533"/>
      <c r="K66" s="533"/>
      <c r="L66" s="545"/>
      <c r="M66" s="545"/>
      <c r="O66" s="533"/>
      <c r="P66" s="593"/>
    </row>
    <row r="67" spans="1:16" x14ac:dyDescent="0.2">
      <c r="A67" s="596"/>
      <c r="B67" s="596"/>
      <c r="C67" s="596"/>
      <c r="D67" s="596"/>
      <c r="E67" s="590"/>
      <c r="F67" s="597"/>
      <c r="G67" s="533"/>
      <c r="H67" s="533"/>
      <c r="I67" s="545"/>
      <c r="J67" s="533"/>
      <c r="K67" s="533"/>
      <c r="L67" s="545"/>
      <c r="O67" s="533"/>
      <c r="P67" s="593"/>
    </row>
    <row r="68" spans="1:16" x14ac:dyDescent="0.2">
      <c r="A68" s="596"/>
      <c r="B68" s="596"/>
      <c r="C68" s="596"/>
      <c r="D68" s="596"/>
      <c r="E68" s="590"/>
      <c r="F68" s="597"/>
      <c r="G68" s="533"/>
      <c r="H68" s="533"/>
      <c r="I68" s="545"/>
      <c r="J68" s="533"/>
      <c r="K68" s="533"/>
      <c r="L68" s="545"/>
      <c r="O68" s="533"/>
      <c r="P68" s="593"/>
    </row>
    <row r="69" spans="1:16" x14ac:dyDescent="0.2">
      <c r="A69" s="596"/>
      <c r="B69" s="596"/>
      <c r="C69" s="596"/>
      <c r="D69" s="596"/>
      <c r="E69" s="590"/>
      <c r="F69" s="597"/>
      <c r="G69" s="533"/>
      <c r="H69" s="533"/>
      <c r="I69" s="545"/>
      <c r="J69" s="533"/>
      <c r="K69" s="533"/>
      <c r="L69" s="533"/>
      <c r="O69" s="533"/>
      <c r="P69" s="593"/>
    </row>
    <row r="70" spans="1:16" x14ac:dyDescent="0.2">
      <c r="A70" s="596"/>
      <c r="B70" s="596"/>
      <c r="C70" s="596"/>
      <c r="D70" s="596"/>
      <c r="E70" s="590"/>
      <c r="F70" s="597"/>
      <c r="G70" s="533"/>
      <c r="H70" s="533"/>
      <c r="I70" s="545"/>
      <c r="J70" s="533"/>
      <c r="K70" s="533"/>
      <c r="L70" s="533"/>
      <c r="O70" s="533"/>
      <c r="P70" s="593"/>
    </row>
    <row r="71" spans="1:16" x14ac:dyDescent="0.2">
      <c r="A71" s="596"/>
      <c r="B71" s="596"/>
      <c r="C71" s="596"/>
      <c r="D71" s="596"/>
      <c r="E71" s="590"/>
      <c r="F71" s="597"/>
      <c r="G71" s="533"/>
      <c r="H71" s="533"/>
      <c r="I71" s="545"/>
      <c r="J71" s="533"/>
      <c r="K71" s="533"/>
      <c r="L71" s="533"/>
      <c r="O71" s="533"/>
      <c r="P71" s="593"/>
    </row>
    <row r="72" spans="1:16" x14ac:dyDescent="0.2">
      <c r="A72" s="596"/>
      <c r="B72" s="596"/>
      <c r="C72" s="596"/>
      <c r="D72" s="596"/>
      <c r="E72" s="590"/>
      <c r="F72" s="597"/>
      <c r="G72" s="533"/>
      <c r="H72" s="533"/>
      <c r="I72" s="545"/>
      <c r="J72" s="533"/>
      <c r="K72" s="533"/>
      <c r="L72" s="533"/>
      <c r="O72" s="533"/>
      <c r="P72" s="593"/>
    </row>
    <row r="73" spans="1:16" x14ac:dyDescent="0.2">
      <c r="A73" s="596"/>
      <c r="B73" s="596"/>
      <c r="C73" s="596"/>
      <c r="D73" s="596"/>
      <c r="E73" s="590"/>
      <c r="F73" s="597"/>
      <c r="G73" s="533"/>
      <c r="H73" s="533"/>
      <c r="I73" s="545"/>
      <c r="J73" s="533"/>
      <c r="K73" s="533"/>
      <c r="L73" s="533"/>
      <c r="O73" s="533"/>
      <c r="P73" s="593"/>
    </row>
    <row r="74" spans="1:16" x14ac:dyDescent="0.2">
      <c r="A74" s="596"/>
      <c r="B74" s="596"/>
      <c r="C74" s="596"/>
      <c r="D74" s="596"/>
      <c r="E74" s="590"/>
      <c r="F74" s="597"/>
      <c r="G74" s="533"/>
      <c r="H74" s="533"/>
      <c r="I74" s="545"/>
      <c r="J74" s="533"/>
      <c r="K74" s="533"/>
      <c r="L74" s="533"/>
      <c r="O74" s="533"/>
      <c r="P74" s="593"/>
    </row>
    <row r="75" spans="1:16" x14ac:dyDescent="0.2">
      <c r="A75" s="596"/>
      <c r="B75" s="596"/>
      <c r="C75" s="596"/>
      <c r="D75" s="596"/>
      <c r="E75" s="590"/>
      <c r="F75" s="597"/>
      <c r="G75" s="533"/>
      <c r="H75" s="533"/>
      <c r="I75" s="545"/>
      <c r="J75" s="533"/>
      <c r="K75" s="533"/>
      <c r="L75" s="533"/>
      <c r="O75" s="533"/>
      <c r="P75" s="593"/>
    </row>
    <row r="76" spans="1:16" x14ac:dyDescent="0.2">
      <c r="A76" s="596"/>
      <c r="B76" s="596"/>
      <c r="C76" s="596"/>
      <c r="D76" s="596"/>
      <c r="E76" s="590"/>
      <c r="F76" s="597"/>
      <c r="G76" s="533"/>
      <c r="H76" s="533"/>
      <c r="I76" s="545"/>
      <c r="J76" s="533"/>
      <c r="K76" s="533"/>
      <c r="L76" s="533"/>
      <c r="O76" s="533"/>
      <c r="P76" s="593"/>
    </row>
    <row r="77" spans="1:16" x14ac:dyDescent="0.2">
      <c r="A77" s="596"/>
      <c r="B77" s="596"/>
      <c r="C77" s="596"/>
      <c r="D77" s="596"/>
      <c r="E77" s="590"/>
      <c r="F77" s="597"/>
      <c r="G77" s="533"/>
      <c r="H77" s="533"/>
      <c r="I77" s="545"/>
      <c r="J77" s="533"/>
      <c r="K77" s="533"/>
      <c r="L77" s="533"/>
      <c r="O77" s="533"/>
      <c r="P77" s="593"/>
    </row>
    <row r="78" spans="1:16" x14ac:dyDescent="0.2">
      <c r="A78" s="596"/>
      <c r="B78" s="596"/>
      <c r="C78" s="596"/>
      <c r="D78" s="596"/>
      <c r="E78" s="590"/>
      <c r="F78" s="597"/>
      <c r="G78" s="533"/>
      <c r="H78" s="533"/>
      <c r="I78" s="545"/>
      <c r="J78" s="533"/>
      <c r="K78" s="533"/>
      <c r="L78" s="533"/>
      <c r="O78" s="533"/>
      <c r="P78" s="593"/>
    </row>
    <row r="79" spans="1:16" x14ac:dyDescent="0.2">
      <c r="A79" s="596"/>
      <c r="B79" s="596"/>
      <c r="C79" s="596"/>
      <c r="D79" s="596"/>
      <c r="E79" s="590"/>
      <c r="F79" s="597"/>
      <c r="G79" s="533"/>
      <c r="H79" s="533"/>
      <c r="I79" s="545"/>
      <c r="J79" s="533"/>
      <c r="K79" s="533"/>
      <c r="L79" s="533"/>
      <c r="O79" s="533"/>
      <c r="P79" s="593"/>
    </row>
    <row r="80" spans="1:16" x14ac:dyDescent="0.2">
      <c r="A80" s="596"/>
      <c r="B80" s="596"/>
      <c r="C80" s="596"/>
      <c r="D80" s="596"/>
      <c r="E80" s="590"/>
      <c r="F80" s="597"/>
      <c r="G80" s="593"/>
      <c r="H80" s="533"/>
      <c r="I80" s="545"/>
      <c r="J80" s="533"/>
      <c r="K80" s="533"/>
      <c r="L80" s="533"/>
      <c r="O80" s="533"/>
      <c r="P80" s="593"/>
    </row>
    <row r="81" spans="1:19" x14ac:dyDescent="0.2">
      <c r="A81" s="596"/>
      <c r="B81" s="596"/>
      <c r="C81" s="596"/>
      <c r="D81" s="596"/>
      <c r="E81" s="590"/>
      <c r="F81" s="597"/>
      <c r="G81" s="593"/>
      <c r="H81" s="533"/>
      <c r="I81" s="545"/>
      <c r="J81" s="533"/>
      <c r="K81" s="533"/>
      <c r="L81" s="533"/>
      <c r="O81" s="533"/>
      <c r="P81" s="593"/>
    </row>
    <row r="82" spans="1:19" x14ac:dyDescent="0.2">
      <c r="A82" s="596"/>
      <c r="B82" s="596"/>
      <c r="C82" s="596"/>
      <c r="D82" s="596"/>
      <c r="E82" s="590"/>
      <c r="F82" s="597"/>
      <c r="G82" s="593"/>
      <c r="H82" s="533"/>
      <c r="I82" s="545"/>
      <c r="J82" s="533"/>
      <c r="K82" s="533"/>
      <c r="L82" s="533"/>
      <c r="O82" s="533"/>
      <c r="P82" s="593"/>
    </row>
    <row r="83" spans="1:19" x14ac:dyDescent="0.2">
      <c r="A83" s="596"/>
      <c r="B83" s="596"/>
      <c r="C83" s="596"/>
      <c r="D83" s="596"/>
      <c r="E83" s="590"/>
      <c r="F83" s="597"/>
      <c r="G83" s="593"/>
      <c r="H83" s="533"/>
      <c r="I83" s="545"/>
      <c r="J83" s="533"/>
      <c r="K83" s="533"/>
      <c r="L83" s="533"/>
      <c r="O83" s="533"/>
      <c r="P83" s="593"/>
    </row>
    <row r="84" spans="1:19" x14ac:dyDescent="0.2">
      <c r="A84" s="596"/>
      <c r="B84" s="596"/>
      <c r="C84" s="596"/>
      <c r="D84" s="596"/>
      <c r="E84" s="590"/>
      <c r="F84" s="597"/>
      <c r="G84" s="533"/>
      <c r="H84" s="533"/>
      <c r="I84" s="545"/>
      <c r="J84" s="533"/>
      <c r="K84" s="533"/>
      <c r="L84" s="533"/>
      <c r="O84" s="533"/>
      <c r="P84" s="593"/>
    </row>
    <row r="85" spans="1:19" x14ac:dyDescent="0.2">
      <c r="A85" s="596"/>
      <c r="B85" s="596"/>
      <c r="C85" s="596"/>
      <c r="D85" s="596"/>
      <c r="E85" s="590"/>
      <c r="F85" s="597"/>
      <c r="G85" s="533"/>
      <c r="H85" s="533"/>
      <c r="I85" s="545"/>
      <c r="J85" s="533"/>
      <c r="K85" s="533"/>
      <c r="L85" s="533"/>
      <c r="O85" s="533"/>
      <c r="P85" s="593"/>
    </row>
    <row r="86" spans="1:19" s="596" customFormat="1" x14ac:dyDescent="0.2">
      <c r="E86" s="590"/>
      <c r="F86" s="597"/>
      <c r="G86" s="533"/>
      <c r="H86" s="533"/>
      <c r="I86" s="545"/>
      <c r="J86" s="533"/>
      <c r="K86" s="533"/>
      <c r="L86" s="533"/>
      <c r="M86" s="533"/>
      <c r="N86" s="533"/>
      <c r="O86" s="533"/>
      <c r="P86" s="593"/>
      <c r="Q86" s="593"/>
      <c r="R86" s="599"/>
      <c r="S86" s="599"/>
    </row>
    <row r="87" spans="1:19" s="596" customFormat="1" x14ac:dyDescent="0.2">
      <c r="E87" s="590"/>
      <c r="F87" s="597"/>
      <c r="G87" s="533"/>
      <c r="H87" s="533"/>
      <c r="I87" s="545"/>
      <c r="J87" s="533"/>
      <c r="K87" s="533"/>
      <c r="L87" s="533"/>
      <c r="M87" s="533"/>
      <c r="N87" s="533"/>
      <c r="O87" s="533"/>
      <c r="P87" s="593"/>
      <c r="Q87" s="593"/>
      <c r="R87" s="599"/>
      <c r="S87" s="599"/>
    </row>
    <row r="88" spans="1:19" s="596" customFormat="1" x14ac:dyDescent="0.2">
      <c r="E88" s="590"/>
      <c r="F88" s="597"/>
      <c r="G88" s="533"/>
      <c r="H88" s="533"/>
      <c r="I88" s="545"/>
      <c r="J88" s="533"/>
      <c r="K88" s="533"/>
      <c r="L88" s="533"/>
      <c r="M88" s="533"/>
      <c r="N88" s="533"/>
      <c r="O88" s="533"/>
      <c r="P88" s="593"/>
      <c r="Q88" s="593"/>
      <c r="R88" s="599"/>
      <c r="S88" s="599"/>
    </row>
    <row r="89" spans="1:19" s="596" customFormat="1" x14ac:dyDescent="0.2">
      <c r="E89" s="590"/>
      <c r="F89" s="597"/>
      <c r="G89" s="533"/>
      <c r="H89" s="533"/>
      <c r="I89" s="545"/>
      <c r="J89" s="533"/>
      <c r="K89" s="533"/>
      <c r="L89" s="533"/>
      <c r="M89" s="533"/>
      <c r="N89" s="533"/>
      <c r="O89" s="533"/>
      <c r="P89" s="593"/>
      <c r="Q89" s="593"/>
      <c r="R89" s="599"/>
      <c r="S89" s="599"/>
    </row>
    <row r="90" spans="1:19" s="596" customFormat="1" x14ac:dyDescent="0.2">
      <c r="E90" s="590"/>
      <c r="F90" s="597"/>
      <c r="G90" s="533"/>
      <c r="H90" s="533"/>
      <c r="I90" s="545"/>
      <c r="J90" s="533"/>
      <c r="K90" s="533"/>
      <c r="L90" s="533"/>
      <c r="M90" s="533"/>
      <c r="N90" s="533"/>
      <c r="O90" s="533"/>
      <c r="P90" s="593"/>
      <c r="Q90" s="593"/>
      <c r="R90" s="599"/>
      <c r="S90" s="599"/>
    </row>
    <row r="91" spans="1:19" s="596" customFormat="1" x14ac:dyDescent="0.2">
      <c r="E91" s="590"/>
      <c r="F91" s="597"/>
      <c r="G91" s="533"/>
      <c r="H91" s="533"/>
      <c r="I91" s="545"/>
      <c r="J91" s="533"/>
      <c r="K91" s="533"/>
      <c r="L91" s="533"/>
      <c r="M91" s="533"/>
      <c r="P91" s="599"/>
      <c r="Q91" s="599"/>
      <c r="R91" s="599"/>
      <c r="S91" s="599"/>
    </row>
    <row r="92" spans="1:19" s="596" customFormat="1" x14ac:dyDescent="0.2">
      <c r="E92" s="590"/>
      <c r="F92" s="597"/>
      <c r="G92" s="533"/>
      <c r="H92" s="533"/>
      <c r="I92" s="545"/>
      <c r="J92" s="533"/>
      <c r="K92" s="533"/>
      <c r="L92" s="533"/>
      <c r="M92" s="533"/>
      <c r="P92" s="599"/>
      <c r="Q92" s="599"/>
      <c r="R92" s="599"/>
      <c r="S92" s="599"/>
    </row>
    <row r="93" spans="1:19" s="596" customFormat="1" x14ac:dyDescent="0.2">
      <c r="E93" s="590"/>
      <c r="F93" s="597"/>
      <c r="G93" s="533"/>
      <c r="H93" s="533"/>
      <c r="I93" s="545"/>
      <c r="J93" s="533"/>
      <c r="K93" s="533"/>
      <c r="L93" s="533"/>
      <c r="M93" s="533"/>
      <c r="P93" s="599"/>
      <c r="Q93" s="599"/>
      <c r="R93" s="599"/>
      <c r="S93" s="599"/>
    </row>
    <row r="94" spans="1:19" s="596" customFormat="1" x14ac:dyDescent="0.2">
      <c r="E94" s="590"/>
      <c r="F94" s="597"/>
      <c r="G94" s="533"/>
      <c r="H94" s="533"/>
      <c r="I94" s="545"/>
      <c r="J94" s="533"/>
      <c r="K94" s="533"/>
      <c r="L94" s="533"/>
      <c r="M94" s="533"/>
      <c r="P94" s="599"/>
      <c r="Q94" s="599"/>
      <c r="R94" s="599"/>
      <c r="S94" s="599"/>
    </row>
    <row r="95" spans="1:19" s="596" customFormat="1" x14ac:dyDescent="0.2">
      <c r="E95" s="590"/>
      <c r="F95" s="597"/>
      <c r="G95" s="533"/>
      <c r="H95" s="533"/>
      <c r="I95" s="545"/>
      <c r="J95" s="533"/>
      <c r="K95" s="533"/>
      <c r="L95" s="533"/>
      <c r="M95" s="533"/>
      <c r="P95" s="599"/>
      <c r="Q95" s="599"/>
      <c r="R95" s="599"/>
      <c r="S95" s="599"/>
    </row>
    <row r="96" spans="1:19" s="596" customFormat="1" x14ac:dyDescent="0.2">
      <c r="E96" s="590"/>
      <c r="F96" s="597"/>
      <c r="G96" s="533"/>
      <c r="H96" s="533"/>
      <c r="I96" s="545"/>
      <c r="J96" s="533"/>
      <c r="K96" s="533"/>
      <c r="L96" s="533"/>
      <c r="M96" s="533"/>
      <c r="P96" s="599"/>
      <c r="Q96" s="599"/>
      <c r="R96" s="599"/>
      <c r="S96" s="599"/>
    </row>
    <row r="97" spans="5:19" s="596" customFormat="1" x14ac:dyDescent="0.2">
      <c r="E97" s="590"/>
      <c r="F97" s="597"/>
      <c r="G97" s="533"/>
      <c r="H97" s="533"/>
      <c r="I97" s="545"/>
      <c r="J97" s="533"/>
      <c r="K97" s="533"/>
      <c r="L97" s="533"/>
      <c r="M97" s="533"/>
      <c r="P97" s="599"/>
      <c r="Q97" s="599"/>
      <c r="R97" s="599"/>
      <c r="S97" s="599"/>
    </row>
    <row r="98" spans="5:19" s="596" customFormat="1" x14ac:dyDescent="0.2">
      <c r="E98" s="590"/>
      <c r="F98" s="597"/>
      <c r="G98" s="533"/>
      <c r="H98" s="533"/>
      <c r="I98" s="545"/>
      <c r="J98" s="533"/>
      <c r="K98" s="533"/>
      <c r="L98" s="533"/>
      <c r="M98" s="533"/>
      <c r="P98" s="599"/>
      <c r="Q98" s="599"/>
      <c r="R98" s="599"/>
      <c r="S98" s="599"/>
    </row>
    <row r="99" spans="5:19" s="596" customFormat="1" x14ac:dyDescent="0.2">
      <c r="E99" s="590"/>
      <c r="F99" s="597"/>
      <c r="G99" s="533"/>
      <c r="H99" s="533"/>
      <c r="I99" s="545"/>
      <c r="J99" s="533"/>
      <c r="K99" s="533"/>
      <c r="L99" s="533"/>
      <c r="M99" s="533"/>
      <c r="P99" s="599"/>
      <c r="Q99" s="599"/>
      <c r="R99" s="599"/>
      <c r="S99" s="599"/>
    </row>
    <row r="100" spans="5:19" s="596" customFormat="1" x14ac:dyDescent="0.2">
      <c r="E100" s="590"/>
      <c r="F100" s="597"/>
      <c r="G100" s="533"/>
      <c r="H100" s="533"/>
      <c r="I100" s="545"/>
      <c r="J100" s="533"/>
      <c r="K100" s="533"/>
      <c r="L100" s="533"/>
      <c r="M100" s="533"/>
      <c r="P100" s="599"/>
      <c r="Q100" s="599"/>
      <c r="R100" s="599"/>
      <c r="S100" s="599"/>
    </row>
    <row r="101" spans="5:19" s="596" customFormat="1" x14ac:dyDescent="0.2">
      <c r="E101" s="590"/>
      <c r="F101" s="597"/>
      <c r="G101" s="533"/>
      <c r="H101" s="533"/>
      <c r="I101" s="545"/>
      <c r="J101" s="533"/>
      <c r="K101" s="533"/>
      <c r="L101" s="533"/>
      <c r="M101" s="533"/>
      <c r="P101" s="599"/>
      <c r="Q101" s="599"/>
      <c r="R101" s="599"/>
      <c r="S101" s="599"/>
    </row>
    <row r="102" spans="5:19" s="596" customFormat="1" x14ac:dyDescent="0.2">
      <c r="E102" s="590"/>
      <c r="F102" s="597"/>
      <c r="G102" s="533"/>
      <c r="H102" s="533"/>
      <c r="I102" s="545"/>
      <c r="J102" s="533"/>
      <c r="K102" s="533"/>
      <c r="L102" s="533"/>
      <c r="M102" s="533"/>
      <c r="P102" s="599"/>
      <c r="Q102" s="599"/>
      <c r="R102" s="599"/>
      <c r="S102" s="599"/>
    </row>
    <row r="103" spans="5:19" s="596" customFormat="1" x14ac:dyDescent="0.2">
      <c r="E103" s="590"/>
      <c r="F103" s="597"/>
      <c r="G103" s="533"/>
      <c r="H103" s="533"/>
      <c r="I103" s="545"/>
      <c r="J103" s="533"/>
      <c r="K103" s="533"/>
      <c r="L103" s="533"/>
      <c r="M103" s="533"/>
      <c r="P103" s="599"/>
      <c r="Q103" s="599"/>
      <c r="R103" s="599"/>
      <c r="S103" s="599"/>
    </row>
    <row r="104" spans="5:19" s="596" customFormat="1" x14ac:dyDescent="0.2">
      <c r="E104" s="590"/>
      <c r="F104" s="597"/>
      <c r="G104" s="533"/>
      <c r="H104" s="533"/>
      <c r="I104" s="545"/>
      <c r="J104" s="533"/>
      <c r="K104" s="533"/>
      <c r="L104" s="533"/>
      <c r="M104" s="533"/>
      <c r="P104" s="599"/>
      <c r="Q104" s="599"/>
      <c r="R104" s="599"/>
      <c r="S104" s="599"/>
    </row>
    <row r="105" spans="5:19" s="596" customFormat="1" x14ac:dyDescent="0.2">
      <c r="E105" s="590"/>
      <c r="F105" s="597"/>
      <c r="G105" s="533"/>
      <c r="H105" s="533"/>
      <c r="I105" s="545"/>
      <c r="J105" s="533"/>
      <c r="K105" s="533"/>
      <c r="L105" s="533"/>
      <c r="M105" s="533"/>
      <c r="P105" s="599"/>
      <c r="Q105" s="599"/>
      <c r="R105" s="599"/>
      <c r="S105" s="599"/>
    </row>
    <row r="106" spans="5:19" s="596" customFormat="1" x14ac:dyDescent="0.2">
      <c r="E106" s="590"/>
      <c r="F106" s="597"/>
      <c r="G106" s="533"/>
      <c r="H106" s="533"/>
      <c r="I106" s="545"/>
      <c r="J106" s="533"/>
      <c r="K106" s="533"/>
      <c r="L106" s="533"/>
      <c r="P106" s="599"/>
      <c r="Q106" s="599"/>
      <c r="R106" s="599"/>
      <c r="S106" s="599"/>
    </row>
    <row r="107" spans="5:19" s="596" customFormat="1" x14ac:dyDescent="0.2">
      <c r="E107" s="590"/>
      <c r="F107" s="597"/>
      <c r="G107" s="533"/>
      <c r="H107" s="533"/>
      <c r="I107" s="545"/>
      <c r="J107" s="533"/>
      <c r="K107" s="533"/>
      <c r="L107" s="533"/>
      <c r="P107" s="599"/>
      <c r="Q107" s="599"/>
      <c r="R107" s="599"/>
      <c r="S107" s="599"/>
    </row>
    <row r="108" spans="5:19" s="596" customFormat="1" x14ac:dyDescent="0.2">
      <c r="E108" s="590"/>
      <c r="F108" s="597"/>
      <c r="G108" s="533"/>
      <c r="H108" s="533"/>
      <c r="I108" s="545"/>
      <c r="J108" s="533"/>
      <c r="K108" s="533"/>
      <c r="L108" s="533"/>
      <c r="P108" s="599"/>
      <c r="Q108" s="599"/>
      <c r="R108" s="599"/>
      <c r="S108" s="599"/>
    </row>
    <row r="109" spans="5:19" s="596" customFormat="1" x14ac:dyDescent="0.2">
      <c r="E109" s="590"/>
      <c r="F109" s="597"/>
      <c r="G109" s="533"/>
      <c r="H109" s="533"/>
      <c r="I109" s="545"/>
      <c r="J109" s="533"/>
      <c r="K109" s="533"/>
      <c r="L109" s="533"/>
      <c r="P109" s="599"/>
      <c r="Q109" s="599"/>
      <c r="R109" s="599"/>
      <c r="S109" s="599"/>
    </row>
    <row r="110" spans="5:19" s="596" customFormat="1" x14ac:dyDescent="0.2">
      <c r="E110" s="590"/>
      <c r="F110" s="597"/>
      <c r="G110" s="533"/>
      <c r="H110" s="533"/>
      <c r="I110" s="545"/>
      <c r="J110" s="533"/>
      <c r="K110" s="533"/>
      <c r="L110" s="533"/>
      <c r="P110" s="599"/>
      <c r="Q110" s="599"/>
      <c r="R110" s="599"/>
      <c r="S110" s="599"/>
    </row>
    <row r="111" spans="5:19" s="596" customFormat="1" x14ac:dyDescent="0.2">
      <c r="E111" s="590"/>
      <c r="F111" s="597"/>
      <c r="G111" s="533"/>
      <c r="H111" s="533"/>
      <c r="I111" s="545"/>
      <c r="J111" s="533"/>
      <c r="K111" s="533"/>
      <c r="L111" s="533"/>
      <c r="P111" s="599"/>
      <c r="Q111" s="599"/>
      <c r="R111" s="599"/>
      <c r="S111" s="599"/>
    </row>
    <row r="112" spans="5:19" s="596" customFormat="1" x14ac:dyDescent="0.2">
      <c r="E112" s="590"/>
      <c r="F112" s="597"/>
      <c r="G112" s="533"/>
      <c r="H112" s="533"/>
      <c r="I112" s="545"/>
      <c r="J112" s="533"/>
      <c r="K112" s="533"/>
      <c r="L112" s="533"/>
      <c r="P112" s="599"/>
      <c r="Q112" s="599"/>
      <c r="R112" s="599"/>
      <c r="S112" s="599"/>
    </row>
    <row r="113" spans="5:19" s="596" customFormat="1" x14ac:dyDescent="0.2">
      <c r="E113" s="590"/>
      <c r="F113" s="597"/>
      <c r="G113" s="533"/>
      <c r="H113" s="533"/>
      <c r="I113" s="545"/>
      <c r="J113" s="533"/>
      <c r="K113" s="533"/>
      <c r="L113" s="533"/>
      <c r="P113" s="599"/>
      <c r="Q113" s="599"/>
      <c r="R113" s="599"/>
      <c r="S113" s="599"/>
    </row>
    <row r="114" spans="5:19" s="596" customFormat="1" x14ac:dyDescent="0.2">
      <c r="E114" s="590"/>
      <c r="F114" s="597"/>
      <c r="G114" s="533"/>
      <c r="H114" s="533"/>
      <c r="I114" s="545"/>
      <c r="J114" s="533"/>
      <c r="K114" s="533"/>
      <c r="L114" s="533"/>
      <c r="P114" s="599"/>
      <c r="Q114" s="599"/>
      <c r="R114" s="599"/>
      <c r="S114" s="599"/>
    </row>
    <row r="115" spans="5:19" s="596" customFormat="1" x14ac:dyDescent="0.2">
      <c r="E115" s="590"/>
      <c r="F115" s="597"/>
      <c r="G115" s="533"/>
      <c r="H115" s="533"/>
      <c r="I115" s="545"/>
      <c r="J115" s="533"/>
      <c r="K115" s="533"/>
      <c r="L115" s="533"/>
      <c r="P115" s="599"/>
      <c r="Q115" s="599"/>
      <c r="R115" s="599"/>
      <c r="S115" s="599"/>
    </row>
    <row r="116" spans="5:19" s="596" customFormat="1" x14ac:dyDescent="0.2">
      <c r="E116" s="590"/>
      <c r="F116" s="597"/>
      <c r="G116" s="533"/>
      <c r="H116" s="533"/>
      <c r="I116" s="545"/>
      <c r="J116" s="533"/>
      <c r="K116" s="533"/>
      <c r="L116" s="533"/>
      <c r="P116" s="599"/>
      <c r="Q116" s="599"/>
      <c r="R116" s="599"/>
      <c r="S116" s="599"/>
    </row>
    <row r="117" spans="5:19" s="596" customFormat="1" x14ac:dyDescent="0.2">
      <c r="E117" s="590"/>
      <c r="F117" s="597"/>
      <c r="G117" s="533"/>
      <c r="H117" s="533"/>
      <c r="I117" s="545"/>
      <c r="J117" s="533"/>
      <c r="K117" s="533"/>
      <c r="L117" s="533"/>
      <c r="P117" s="599"/>
      <c r="Q117" s="599"/>
      <c r="R117" s="599"/>
      <c r="S117" s="599"/>
    </row>
    <row r="118" spans="5:19" s="596" customFormat="1" x14ac:dyDescent="0.2">
      <c r="E118" s="590"/>
      <c r="F118" s="597"/>
      <c r="G118" s="533"/>
      <c r="H118" s="533"/>
      <c r="I118" s="545"/>
      <c r="J118" s="533"/>
      <c r="K118" s="533"/>
      <c r="L118" s="533"/>
      <c r="P118" s="599"/>
      <c r="Q118" s="599"/>
      <c r="R118" s="599"/>
      <c r="S118" s="599"/>
    </row>
    <row r="119" spans="5:19" s="596" customFormat="1" x14ac:dyDescent="0.2">
      <c r="E119" s="590"/>
      <c r="F119" s="597"/>
      <c r="G119" s="533"/>
      <c r="H119" s="533"/>
      <c r="I119" s="545"/>
      <c r="J119" s="533"/>
      <c r="K119" s="533"/>
      <c r="L119" s="533"/>
      <c r="P119" s="599"/>
      <c r="Q119" s="599"/>
      <c r="R119" s="599"/>
      <c r="S119" s="599"/>
    </row>
    <row r="120" spans="5:19" s="596" customFormat="1" x14ac:dyDescent="0.2">
      <c r="E120" s="590"/>
      <c r="F120" s="597"/>
      <c r="G120" s="533"/>
      <c r="H120" s="533"/>
      <c r="I120" s="545"/>
      <c r="J120" s="533"/>
      <c r="K120" s="533"/>
      <c r="L120" s="533"/>
      <c r="P120" s="599"/>
      <c r="Q120" s="599"/>
      <c r="R120" s="599"/>
      <c r="S120" s="599"/>
    </row>
    <row r="121" spans="5:19" s="596" customFormat="1" x14ac:dyDescent="0.2">
      <c r="E121" s="590"/>
      <c r="F121" s="597"/>
      <c r="G121" s="533"/>
      <c r="H121" s="533"/>
      <c r="I121" s="545"/>
      <c r="J121" s="533"/>
      <c r="K121" s="533"/>
      <c r="L121" s="533"/>
      <c r="P121" s="599"/>
      <c r="Q121" s="599"/>
      <c r="R121" s="599"/>
      <c r="S121" s="599"/>
    </row>
    <row r="122" spans="5:19" s="596" customFormat="1" x14ac:dyDescent="0.2">
      <c r="E122" s="590"/>
      <c r="F122" s="597"/>
      <c r="G122" s="533"/>
      <c r="H122" s="533"/>
      <c r="I122" s="545"/>
      <c r="J122" s="533"/>
      <c r="K122" s="533"/>
      <c r="L122" s="533"/>
      <c r="P122" s="599"/>
      <c r="Q122" s="599"/>
      <c r="R122" s="599"/>
      <c r="S122" s="599"/>
    </row>
    <row r="123" spans="5:19" s="596" customFormat="1" x14ac:dyDescent="0.2">
      <c r="E123" s="590"/>
      <c r="F123" s="597"/>
      <c r="G123" s="533"/>
      <c r="H123" s="533"/>
      <c r="I123" s="545"/>
      <c r="J123" s="533"/>
      <c r="K123" s="533"/>
      <c r="L123" s="533"/>
      <c r="P123" s="599"/>
      <c r="Q123" s="599"/>
      <c r="R123" s="599"/>
      <c r="S123" s="599"/>
    </row>
    <row r="124" spans="5:19" s="596" customFormat="1" x14ac:dyDescent="0.2">
      <c r="E124" s="590"/>
      <c r="F124" s="597"/>
      <c r="G124" s="533"/>
      <c r="H124" s="533"/>
      <c r="I124" s="545"/>
      <c r="J124" s="533"/>
      <c r="K124" s="533"/>
      <c r="L124" s="533"/>
      <c r="P124" s="599"/>
      <c r="Q124" s="599"/>
      <c r="R124" s="599"/>
      <c r="S124" s="599"/>
    </row>
    <row r="125" spans="5:19" s="596" customFormat="1" x14ac:dyDescent="0.2">
      <c r="E125" s="590"/>
      <c r="F125" s="597"/>
      <c r="G125" s="533"/>
      <c r="H125" s="533"/>
      <c r="I125" s="545"/>
      <c r="J125" s="533"/>
      <c r="K125" s="533"/>
      <c r="L125" s="533"/>
      <c r="P125" s="599"/>
      <c r="Q125" s="599"/>
      <c r="R125" s="599"/>
      <c r="S125" s="599"/>
    </row>
    <row r="126" spans="5:19" s="596" customFormat="1" x14ac:dyDescent="0.2">
      <c r="E126" s="590"/>
      <c r="F126" s="597"/>
      <c r="G126" s="533"/>
      <c r="H126" s="533"/>
      <c r="I126" s="545"/>
      <c r="J126" s="533"/>
      <c r="K126" s="533"/>
      <c r="L126" s="533"/>
      <c r="P126" s="599"/>
      <c r="Q126" s="599"/>
      <c r="R126" s="599"/>
      <c r="S126" s="599"/>
    </row>
    <row r="127" spans="5:19" s="596" customFormat="1" x14ac:dyDescent="0.2">
      <c r="E127" s="590"/>
      <c r="F127" s="597"/>
      <c r="G127" s="533"/>
      <c r="H127" s="533"/>
      <c r="I127" s="545"/>
      <c r="J127" s="533"/>
      <c r="K127" s="533"/>
      <c r="L127" s="533"/>
      <c r="P127" s="599"/>
      <c r="Q127" s="599"/>
      <c r="R127" s="599"/>
      <c r="S127" s="599"/>
    </row>
    <row r="128" spans="5:19" s="596" customFormat="1" x14ac:dyDescent="0.2">
      <c r="E128" s="590"/>
      <c r="F128" s="597"/>
      <c r="G128" s="533"/>
      <c r="H128" s="533"/>
      <c r="I128" s="545"/>
      <c r="J128" s="533"/>
      <c r="K128" s="533"/>
      <c r="L128" s="533"/>
      <c r="P128" s="599"/>
      <c r="Q128" s="599"/>
      <c r="R128" s="599"/>
      <c r="S128" s="599"/>
    </row>
    <row r="129" spans="1:19" s="596" customFormat="1" x14ac:dyDescent="0.2">
      <c r="E129" s="590"/>
      <c r="F129" s="597"/>
      <c r="G129" s="533"/>
      <c r="H129" s="533"/>
      <c r="I129" s="545"/>
      <c r="J129" s="533"/>
      <c r="K129" s="533"/>
      <c r="L129" s="533"/>
      <c r="P129" s="599"/>
      <c r="Q129" s="599"/>
      <c r="R129" s="599"/>
      <c r="S129" s="599"/>
    </row>
    <row r="130" spans="1:19" s="596" customFormat="1" x14ac:dyDescent="0.2">
      <c r="E130" s="590"/>
      <c r="F130" s="597"/>
      <c r="G130" s="533"/>
      <c r="H130" s="533"/>
      <c r="I130" s="545"/>
      <c r="J130" s="533"/>
      <c r="K130" s="533"/>
      <c r="L130" s="533"/>
      <c r="P130" s="599"/>
      <c r="Q130" s="599"/>
      <c r="R130" s="599"/>
      <c r="S130" s="599"/>
    </row>
    <row r="131" spans="1:19" s="596" customFormat="1" x14ac:dyDescent="0.2">
      <c r="E131" s="590"/>
      <c r="F131" s="597"/>
      <c r="G131" s="533"/>
      <c r="H131" s="533"/>
      <c r="I131" s="545"/>
      <c r="J131" s="533"/>
      <c r="K131" s="533"/>
      <c r="L131" s="533"/>
      <c r="P131" s="599"/>
      <c r="Q131" s="599"/>
      <c r="R131" s="599"/>
      <c r="S131" s="599"/>
    </row>
    <row r="132" spans="1:19" s="596" customFormat="1" x14ac:dyDescent="0.2">
      <c r="E132" s="590"/>
      <c r="F132" s="597"/>
      <c r="G132" s="533"/>
      <c r="H132" s="533"/>
      <c r="I132" s="545"/>
      <c r="J132" s="533"/>
      <c r="K132" s="533"/>
      <c r="L132" s="533"/>
      <c r="P132" s="599"/>
      <c r="Q132" s="599"/>
      <c r="R132" s="599"/>
      <c r="S132" s="599"/>
    </row>
    <row r="133" spans="1:19" s="596" customFormat="1" x14ac:dyDescent="0.2">
      <c r="E133" s="590"/>
      <c r="F133" s="597"/>
      <c r="G133" s="533"/>
      <c r="H133" s="533"/>
      <c r="I133" s="545"/>
      <c r="J133" s="533"/>
      <c r="K133" s="533"/>
      <c r="L133" s="533"/>
      <c r="P133" s="599"/>
      <c r="Q133" s="599"/>
      <c r="R133" s="599"/>
      <c r="S133" s="599"/>
    </row>
    <row r="134" spans="1:19" s="596" customFormat="1" x14ac:dyDescent="0.2">
      <c r="E134" s="590"/>
      <c r="F134" s="597"/>
      <c r="G134" s="533"/>
      <c r="H134" s="533"/>
      <c r="I134" s="545"/>
      <c r="J134" s="533"/>
      <c r="K134" s="533"/>
      <c r="L134" s="533"/>
      <c r="P134" s="599"/>
      <c r="Q134" s="599"/>
      <c r="R134" s="599"/>
      <c r="S134" s="599"/>
    </row>
    <row r="135" spans="1:19" s="596" customFormat="1" x14ac:dyDescent="0.2">
      <c r="E135" s="590"/>
      <c r="F135" s="597"/>
      <c r="G135" s="533"/>
      <c r="H135" s="533"/>
      <c r="I135" s="545"/>
      <c r="J135" s="533"/>
      <c r="K135" s="533"/>
      <c r="L135" s="533"/>
      <c r="P135" s="599"/>
      <c r="Q135" s="599"/>
      <c r="R135" s="599"/>
      <c r="S135" s="599"/>
    </row>
    <row r="136" spans="1:19" s="596" customFormat="1" x14ac:dyDescent="0.2">
      <c r="E136" s="590"/>
      <c r="F136" s="597"/>
      <c r="G136" s="533"/>
      <c r="H136" s="533"/>
      <c r="I136" s="545"/>
      <c r="J136" s="533"/>
      <c r="K136" s="533"/>
      <c r="L136" s="533"/>
      <c r="P136" s="599"/>
      <c r="Q136" s="599"/>
      <c r="R136" s="599"/>
      <c r="S136" s="599"/>
    </row>
    <row r="137" spans="1:19" s="596" customFormat="1" x14ac:dyDescent="0.2">
      <c r="E137" s="590"/>
      <c r="F137" s="597"/>
      <c r="G137" s="533"/>
      <c r="H137" s="533"/>
      <c r="I137" s="545"/>
      <c r="J137" s="533"/>
      <c r="K137" s="533"/>
      <c r="L137" s="533"/>
      <c r="P137" s="599"/>
      <c r="Q137" s="599"/>
      <c r="R137" s="599"/>
      <c r="S137" s="599"/>
    </row>
    <row r="138" spans="1:19" s="596" customFormat="1" x14ac:dyDescent="0.2">
      <c r="E138" s="590"/>
      <c r="F138" s="597"/>
      <c r="G138" s="533"/>
      <c r="H138" s="533"/>
      <c r="I138" s="545"/>
      <c r="J138" s="533"/>
      <c r="K138" s="533"/>
      <c r="L138" s="533"/>
      <c r="P138" s="599"/>
      <c r="Q138" s="599"/>
      <c r="R138" s="599"/>
      <c r="S138" s="599"/>
    </row>
    <row r="139" spans="1:19" s="596" customFormat="1" x14ac:dyDescent="0.2">
      <c r="E139" s="590"/>
      <c r="F139" s="597"/>
      <c r="G139" s="533"/>
      <c r="H139" s="533"/>
      <c r="I139" s="545"/>
      <c r="J139" s="533"/>
      <c r="K139" s="533"/>
      <c r="L139" s="533"/>
      <c r="P139" s="599"/>
      <c r="Q139" s="599"/>
      <c r="R139" s="599"/>
      <c r="S139" s="599"/>
    </row>
    <row r="140" spans="1:19" s="596" customFormat="1" x14ac:dyDescent="0.2">
      <c r="E140" s="590"/>
      <c r="F140" s="597"/>
      <c r="G140" s="533"/>
      <c r="H140" s="533"/>
      <c r="I140" s="545"/>
      <c r="J140" s="533"/>
      <c r="K140" s="533"/>
      <c r="L140" s="533"/>
      <c r="P140" s="599"/>
      <c r="Q140" s="599"/>
      <c r="R140" s="599"/>
      <c r="S140" s="599"/>
    </row>
    <row r="141" spans="1:19" s="596" customFormat="1" x14ac:dyDescent="0.2">
      <c r="E141" s="590"/>
      <c r="F141" s="597"/>
      <c r="G141" s="533"/>
      <c r="H141" s="533"/>
      <c r="I141" s="545"/>
      <c r="J141" s="533"/>
      <c r="K141" s="533"/>
      <c r="L141" s="533"/>
      <c r="P141" s="599"/>
      <c r="Q141" s="599"/>
      <c r="R141" s="599"/>
      <c r="S141" s="599"/>
    </row>
    <row r="142" spans="1:19" s="596" customFormat="1" x14ac:dyDescent="0.2">
      <c r="E142" s="590"/>
      <c r="F142" s="597"/>
      <c r="G142" s="533"/>
      <c r="H142" s="533"/>
      <c r="I142" s="545"/>
      <c r="J142" s="533"/>
      <c r="K142" s="533"/>
      <c r="L142" s="533"/>
      <c r="P142" s="599"/>
      <c r="Q142" s="599"/>
      <c r="R142" s="599"/>
      <c r="S142" s="599"/>
    </row>
    <row r="143" spans="1:19" x14ac:dyDescent="0.2">
      <c r="A143" s="596"/>
      <c r="B143" s="596"/>
      <c r="C143" s="596"/>
      <c r="D143" s="596"/>
      <c r="E143" s="590"/>
      <c r="F143" s="597"/>
      <c r="G143" s="533"/>
      <c r="H143" s="533"/>
      <c r="I143" s="545"/>
      <c r="J143" s="533"/>
      <c r="K143" s="533"/>
      <c r="L143" s="533"/>
      <c r="M143" s="596"/>
      <c r="N143" s="596"/>
      <c r="O143" s="596"/>
      <c r="P143" s="599"/>
      <c r="Q143" s="599"/>
    </row>
    <row r="144" spans="1:19" x14ac:dyDescent="0.2">
      <c r="A144" s="596"/>
      <c r="B144" s="596"/>
      <c r="C144" s="596"/>
      <c r="D144" s="596"/>
      <c r="E144" s="590"/>
      <c r="F144" s="597"/>
      <c r="G144" s="533"/>
      <c r="H144" s="533"/>
      <c r="I144" s="545"/>
      <c r="J144" s="533"/>
      <c r="K144" s="533"/>
      <c r="L144" s="533"/>
      <c r="M144" s="596"/>
      <c r="N144" s="596"/>
      <c r="O144" s="596"/>
      <c r="P144" s="599"/>
      <c r="Q144" s="599"/>
    </row>
    <row r="145" spans="1:17" x14ac:dyDescent="0.2">
      <c r="A145" s="596"/>
      <c r="B145" s="596"/>
      <c r="C145" s="596"/>
      <c r="D145" s="596"/>
      <c r="E145" s="590"/>
      <c r="F145" s="597"/>
      <c r="G145" s="533"/>
      <c r="H145" s="533"/>
      <c r="I145" s="545"/>
      <c r="J145" s="533"/>
      <c r="K145" s="533"/>
      <c r="L145" s="533"/>
      <c r="M145" s="596"/>
      <c r="N145" s="596"/>
      <c r="O145" s="596"/>
      <c r="P145" s="599"/>
      <c r="Q145" s="599"/>
    </row>
    <row r="146" spans="1:17" x14ac:dyDescent="0.2">
      <c r="A146" s="596"/>
      <c r="B146" s="596"/>
      <c r="C146" s="596"/>
      <c r="D146" s="596"/>
      <c r="E146" s="590"/>
      <c r="F146" s="597"/>
      <c r="G146" s="533"/>
      <c r="H146" s="533"/>
      <c r="I146" s="545"/>
      <c r="J146" s="533"/>
      <c r="K146" s="533"/>
      <c r="L146" s="533"/>
      <c r="M146" s="596"/>
      <c r="N146" s="596"/>
      <c r="O146" s="596"/>
      <c r="P146" s="599"/>
      <c r="Q146" s="599"/>
    </row>
    <row r="147" spans="1:17" x14ac:dyDescent="0.2">
      <c r="A147" s="596"/>
      <c r="B147" s="596"/>
      <c r="C147" s="596"/>
      <c r="D147" s="596"/>
      <c r="E147" s="590"/>
      <c r="F147" s="597"/>
      <c r="G147" s="533"/>
      <c r="H147" s="533"/>
      <c r="I147" s="545"/>
      <c r="J147" s="533"/>
      <c r="K147" s="533"/>
      <c r="L147" s="533"/>
      <c r="M147" s="596"/>
      <c r="N147" s="596"/>
      <c r="O147" s="596"/>
      <c r="P147" s="599"/>
      <c r="Q147" s="599"/>
    </row>
    <row r="148" spans="1:17" x14ac:dyDescent="0.2">
      <c r="A148" s="596"/>
      <c r="B148" s="596"/>
      <c r="C148" s="596"/>
      <c r="D148" s="596"/>
      <c r="E148" s="590"/>
      <c r="F148" s="597"/>
      <c r="G148" s="533"/>
      <c r="H148" s="533"/>
      <c r="I148" s="545"/>
      <c r="J148" s="533"/>
      <c r="K148" s="533"/>
      <c r="L148" s="533"/>
      <c r="M148" s="596"/>
    </row>
    <row r="149" spans="1:17" x14ac:dyDescent="0.2">
      <c r="A149" s="596"/>
      <c r="B149" s="596"/>
      <c r="C149" s="596"/>
      <c r="D149" s="596"/>
      <c r="E149" s="590"/>
      <c r="F149" s="597"/>
      <c r="G149" s="533"/>
      <c r="H149" s="533"/>
      <c r="I149" s="545"/>
      <c r="J149" s="533"/>
      <c r="K149" s="533"/>
      <c r="L149" s="533"/>
      <c r="M149" s="596"/>
    </row>
    <row r="150" spans="1:17" x14ac:dyDescent="0.2">
      <c r="A150" s="596"/>
      <c r="B150" s="596"/>
      <c r="C150" s="596"/>
      <c r="D150" s="596"/>
      <c r="E150" s="590"/>
      <c r="F150" s="597"/>
      <c r="G150" s="533"/>
      <c r="H150" s="533"/>
      <c r="I150" s="545"/>
      <c r="J150" s="533"/>
      <c r="K150" s="533"/>
      <c r="L150" s="533"/>
      <c r="M150" s="596"/>
    </row>
    <row r="151" spans="1:17" x14ac:dyDescent="0.2">
      <c r="A151" s="596"/>
      <c r="B151" s="596"/>
      <c r="C151" s="596"/>
      <c r="D151" s="596"/>
      <c r="E151" s="590"/>
      <c r="F151" s="597"/>
      <c r="G151" s="533"/>
      <c r="H151" s="533"/>
      <c r="I151" s="545"/>
      <c r="J151" s="533"/>
      <c r="K151" s="533"/>
      <c r="L151" s="533"/>
      <c r="M151" s="596"/>
    </row>
    <row r="152" spans="1:17" x14ac:dyDescent="0.2">
      <c r="J152" s="533"/>
      <c r="K152" s="533"/>
      <c r="L152" s="533"/>
      <c r="M152" s="596"/>
    </row>
    <row r="153" spans="1:17" x14ac:dyDescent="0.2">
      <c r="J153" s="533"/>
      <c r="K153" s="533"/>
      <c r="L153" s="533"/>
      <c r="M153" s="596"/>
    </row>
    <row r="154" spans="1:17" x14ac:dyDescent="0.2">
      <c r="J154" s="533"/>
      <c r="K154" s="533"/>
      <c r="L154" s="533"/>
      <c r="M154" s="596"/>
    </row>
    <row r="155" spans="1:17" x14ac:dyDescent="0.2">
      <c r="J155" s="533"/>
      <c r="K155" s="533"/>
      <c r="L155" s="533"/>
      <c r="M155" s="596"/>
    </row>
    <row r="156" spans="1:17" x14ac:dyDescent="0.2">
      <c r="J156" s="533"/>
      <c r="K156" s="533"/>
      <c r="L156" s="533"/>
      <c r="M156" s="596"/>
    </row>
    <row r="157" spans="1:17" x14ac:dyDescent="0.2">
      <c r="J157" s="533"/>
      <c r="K157" s="533"/>
      <c r="L157" s="533"/>
      <c r="M157" s="596"/>
    </row>
    <row r="158" spans="1:17" x14ac:dyDescent="0.2">
      <c r="K158" s="533"/>
      <c r="L158" s="533"/>
      <c r="M158" s="596"/>
    </row>
    <row r="159" spans="1:17" x14ac:dyDescent="0.2">
      <c r="K159" s="533"/>
      <c r="L159" s="533"/>
      <c r="M159" s="596"/>
    </row>
    <row r="160" spans="1:17" x14ac:dyDescent="0.2">
      <c r="K160" s="533"/>
      <c r="L160" s="533"/>
      <c r="M160" s="596"/>
    </row>
    <row r="161" spans="12:13" x14ac:dyDescent="0.2">
      <c r="L161" s="533"/>
      <c r="M161" s="596"/>
    </row>
    <row r="162" spans="12:13" x14ac:dyDescent="0.2">
      <c r="L162" s="533"/>
      <c r="M162" s="596"/>
    </row>
    <row r="163" spans="12:13" x14ac:dyDescent="0.2">
      <c r="L163" s="533"/>
    </row>
    <row r="164" spans="12:13" x14ac:dyDescent="0.2">
      <c r="L164" s="533"/>
    </row>
    <row r="165" spans="12:13" x14ac:dyDescent="0.2">
      <c r="L165" s="533"/>
    </row>
  </sheetData>
  <mergeCells count="5">
    <mergeCell ref="A7:L7"/>
    <mergeCell ref="M7:O7"/>
    <mergeCell ref="U7:V7"/>
    <mergeCell ref="D9:F9"/>
    <mergeCell ref="H9:K9"/>
  </mergeCells>
  <conditionalFormatting sqref="P54:P70 Z9:Z53">
    <cfRule type="aboveAverage" dxfId="9" priority="1" aboveAverage="0" stdDev="1"/>
    <cfRule type="aboveAverage" dxfId="8" priority="2" stdDev="1"/>
  </conditionalFormatting>
  <dataValidations disablePrompts="1" count="1">
    <dataValidation type="list" allowBlank="1" showInputMessage="1" showErrorMessage="1" sqref="B5" xr:uid="{BB299A92-3C45-4BEC-ABA7-8AD9A020B89D}">
      <formula1>$AB$5:$AB$8</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768D-1152-44E8-9A16-D8C5A7262621}">
  <dimension ref="A1:Z169"/>
  <sheetViews>
    <sheetView workbookViewId="0">
      <selection activeCell="I5" sqref="I5"/>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12" style="596" bestFit="1" customWidth="1"/>
    <col min="8" max="8" width="9.33203125" style="599" customWidth="1"/>
    <col min="9" max="9" width="11" style="596" bestFit="1" customWidth="1"/>
    <col min="10" max="10" width="8.44140625" style="596" bestFit="1" customWidth="1"/>
    <col min="11" max="11" width="8.44140625" style="590" bestFit="1" customWidth="1"/>
    <col min="12" max="12" width="13.6640625" style="597" bestFit="1" customWidth="1"/>
    <col min="13" max="13" width="6.33203125" style="533" bestFit="1" customWidth="1"/>
    <col min="14" max="14" width="5.6640625" style="533" bestFit="1" customWidth="1"/>
    <col min="15" max="15" width="6.88671875" style="545" bestFit="1" customWidth="1"/>
    <col min="16" max="16" width="5.88671875" style="426" bestFit="1" customWidth="1"/>
    <col min="17" max="17" width="14" style="593" bestFit="1" customWidth="1"/>
    <col min="18" max="18" width="6" style="593" bestFit="1" customWidth="1"/>
    <col min="19" max="19" width="8.6640625" style="593" bestFit="1" customWidth="1"/>
    <col min="20" max="21" width="17.33203125" style="533" bestFit="1" customWidth="1"/>
    <col min="22" max="22" width="9.33203125" style="533" bestFit="1" customWidth="1"/>
    <col min="23" max="27" width="5.33203125" style="533" customWidth="1"/>
    <col min="28" max="28" width="17" style="533" customWidth="1"/>
    <col min="29" max="16384" width="7.88671875" style="533"/>
  </cols>
  <sheetData>
    <row r="1" spans="1:24" s="369" customFormat="1" ht="13.2" x14ac:dyDescent="0.25">
      <c r="A1" s="361" t="s">
        <v>104</v>
      </c>
      <c r="B1" s="362" t="s">
        <v>159</v>
      </c>
      <c r="C1" s="363"/>
      <c r="D1" s="362"/>
      <c r="E1" s="364"/>
      <c r="F1" s="364"/>
      <c r="G1" s="365"/>
      <c r="H1" s="366" t="s">
        <v>105</v>
      </c>
      <c r="I1" s="367">
        <f>C43</f>
        <v>997</v>
      </c>
      <c r="J1" s="368"/>
      <c r="K1" s="362"/>
      <c r="L1" s="362"/>
      <c r="N1" s="370"/>
      <c r="P1" s="371"/>
      <c r="Q1" s="371"/>
      <c r="R1" s="371"/>
      <c r="S1" s="371"/>
    </row>
    <row r="2" spans="1:24" s="369" customFormat="1" ht="13.2" x14ac:dyDescent="0.25">
      <c r="A2" s="372" t="s">
        <v>106</v>
      </c>
      <c r="B2" s="362" t="s">
        <v>160</v>
      </c>
      <c r="C2" s="373"/>
      <c r="D2" s="362"/>
      <c r="E2" s="374"/>
      <c r="F2" s="374"/>
      <c r="G2" s="375"/>
      <c r="H2" s="376" t="s">
        <v>107</v>
      </c>
      <c r="I2" s="377">
        <v>800</v>
      </c>
      <c r="J2" s="378"/>
      <c r="K2" s="362"/>
      <c r="L2" s="362"/>
      <c r="N2" s="379"/>
      <c r="P2" s="371"/>
      <c r="Q2" s="371"/>
      <c r="R2" s="371"/>
      <c r="S2" s="371"/>
    </row>
    <row r="3" spans="1:24" s="383" customFormat="1" ht="11.25" customHeight="1" x14ac:dyDescent="0.25">
      <c r="A3" s="380" t="s">
        <v>108</v>
      </c>
      <c r="B3" s="632">
        <v>45785</v>
      </c>
      <c r="C3" s="373"/>
      <c r="D3" s="374"/>
      <c r="E3" s="374"/>
      <c r="F3" s="374"/>
      <c r="G3" s="375"/>
      <c r="H3" s="380" t="s">
        <v>109</v>
      </c>
      <c r="I3" s="386">
        <f>V53/100</f>
        <v>8</v>
      </c>
      <c r="J3" s="378"/>
      <c r="K3" s="362"/>
      <c r="L3" s="362"/>
      <c r="N3" s="384"/>
      <c r="P3" s="385"/>
      <c r="Q3" s="385"/>
      <c r="R3" s="385"/>
      <c r="S3" s="385"/>
    </row>
    <row r="4" spans="1:24" s="369" customFormat="1" ht="13.2" x14ac:dyDescent="0.25">
      <c r="A4" s="380" t="s">
        <v>110</v>
      </c>
      <c r="B4" s="381" t="s">
        <v>219</v>
      </c>
      <c r="C4" s="373"/>
      <c r="D4" s="374"/>
      <c r="E4" s="374"/>
      <c r="F4" s="374"/>
      <c r="G4" s="375"/>
      <c r="H4" s="380" t="s">
        <v>111</v>
      </c>
      <c r="I4" s="386">
        <f>S38</f>
        <v>0.45373105494465016</v>
      </c>
      <c r="J4" s="378"/>
      <c r="K4" s="362"/>
      <c r="L4" s="362"/>
      <c r="M4" s="370"/>
      <c r="N4" s="370"/>
      <c r="P4" s="371"/>
      <c r="Q4" s="371"/>
      <c r="R4" s="371"/>
      <c r="S4" s="371"/>
    </row>
    <row r="5" spans="1:24" s="390" customFormat="1" ht="13.2" x14ac:dyDescent="0.25">
      <c r="A5" s="372" t="s">
        <v>112</v>
      </c>
      <c r="B5" s="387" t="s">
        <v>113</v>
      </c>
      <c r="C5" s="373"/>
      <c r="D5" s="374"/>
      <c r="E5" s="374"/>
      <c r="F5" s="374"/>
      <c r="G5" s="375"/>
      <c r="H5" s="380" t="s">
        <v>272</v>
      </c>
      <c r="I5" s="899">
        <f>I4*I2/100</f>
        <v>3.6298484395572013</v>
      </c>
      <c r="J5" s="378"/>
      <c r="K5" s="362"/>
      <c r="L5" s="362"/>
      <c r="M5" s="389"/>
      <c r="N5" s="389"/>
      <c r="P5" s="391"/>
      <c r="Q5" s="391"/>
      <c r="R5" s="391"/>
      <c r="S5" s="391"/>
    </row>
    <row r="6" spans="1:24" s="389" customFormat="1" ht="13.8" thickBot="1" x14ac:dyDescent="0.25">
      <c r="A6" s="392"/>
      <c r="B6" s="393"/>
      <c r="C6" s="394"/>
      <c r="D6" s="395"/>
      <c r="E6" s="395"/>
      <c r="F6" s="395"/>
      <c r="G6" s="396"/>
      <c r="H6" s="397"/>
      <c r="I6" s="398"/>
      <c r="J6" s="396"/>
      <c r="K6" s="393"/>
      <c r="L6" s="393"/>
      <c r="M6" s="399"/>
      <c r="P6" s="400"/>
      <c r="Q6" s="400"/>
      <c r="R6" s="400"/>
      <c r="S6" s="400"/>
    </row>
    <row r="7" spans="1:24" s="390" customFormat="1" ht="13.2" customHeight="1" x14ac:dyDescent="0.2">
      <c r="A7" s="952" t="s">
        <v>114</v>
      </c>
      <c r="B7" s="953"/>
      <c r="C7" s="953"/>
      <c r="D7" s="953"/>
      <c r="E7" s="953"/>
      <c r="F7" s="953"/>
      <c r="G7" s="953"/>
      <c r="H7" s="953"/>
      <c r="I7" s="953"/>
      <c r="J7" s="953"/>
      <c r="K7" s="953"/>
      <c r="L7" s="953"/>
      <c r="M7" s="954" t="s">
        <v>115</v>
      </c>
      <c r="N7" s="955"/>
      <c r="O7" s="956"/>
      <c r="P7" s="401" t="s">
        <v>116</v>
      </c>
      <c r="Q7" s="402"/>
      <c r="R7" s="401" t="s">
        <v>117</v>
      </c>
      <c r="S7" s="401"/>
      <c r="T7" s="403"/>
      <c r="U7" s="950" t="s">
        <v>118</v>
      </c>
      <c r="V7" s="951"/>
      <c r="W7" s="389"/>
      <c r="X7" s="389"/>
    </row>
    <row r="8" spans="1:24" s="420" customFormat="1" x14ac:dyDescent="0.2">
      <c r="A8" s="404"/>
      <c r="B8" s="399"/>
      <c r="C8" s="405"/>
      <c r="D8" s="406"/>
      <c r="E8" s="407"/>
      <c r="F8" s="408"/>
      <c r="G8" s="409"/>
      <c r="H8" s="410"/>
      <c r="I8" s="410"/>
      <c r="J8" s="410"/>
      <c r="K8" s="410"/>
      <c r="L8" s="411"/>
      <c r="M8" s="412"/>
      <c r="N8" s="413"/>
      <c r="O8" s="414"/>
      <c r="P8" s="415"/>
      <c r="Q8" s="416"/>
      <c r="R8" s="415"/>
      <c r="S8" s="415"/>
      <c r="T8" s="417"/>
      <c r="U8" s="418"/>
      <c r="V8" s="418"/>
      <c r="W8" s="419"/>
    </row>
    <row r="9" spans="1:24" s="431" customFormat="1" ht="13.2" customHeight="1" x14ac:dyDescent="0.2">
      <c r="A9" s="421"/>
      <c r="B9" s="389"/>
      <c r="C9" s="422"/>
      <c r="D9" s="957" t="s">
        <v>119</v>
      </c>
      <c r="E9" s="958"/>
      <c r="F9" s="959"/>
      <c r="G9" s="423"/>
      <c r="H9" s="960" t="s">
        <v>120</v>
      </c>
      <c r="I9" s="961"/>
      <c r="J9" s="961"/>
      <c r="K9" s="962"/>
      <c r="L9" s="424"/>
      <c r="M9" s="425"/>
      <c r="N9" s="413" t="s">
        <v>121</v>
      </c>
      <c r="O9" s="414"/>
      <c r="P9" s="415"/>
      <c r="Q9" s="416"/>
      <c r="R9" s="426"/>
      <c r="S9" s="426"/>
      <c r="T9" s="417"/>
      <c r="U9" s="427"/>
      <c r="V9" s="428"/>
      <c r="W9" s="429"/>
      <c r="X9" s="430"/>
    </row>
    <row r="10" spans="1:24" s="431" customFormat="1" x14ac:dyDescent="0.2">
      <c r="A10" s="432" t="s">
        <v>122</v>
      </c>
      <c r="B10" s="433" t="s">
        <v>51</v>
      </c>
      <c r="C10" s="434" t="s">
        <v>123</v>
      </c>
      <c r="D10" s="435" t="s">
        <v>124</v>
      </c>
      <c r="E10" s="436" t="s">
        <v>125</v>
      </c>
      <c r="F10" s="437" t="s">
        <v>126</v>
      </c>
      <c r="G10" s="423" t="s">
        <v>127</v>
      </c>
      <c r="H10" s="438" t="s">
        <v>128</v>
      </c>
      <c r="I10" s="438" t="s">
        <v>129</v>
      </c>
      <c r="J10" s="438" t="s">
        <v>130</v>
      </c>
      <c r="K10" s="438" t="s">
        <v>131</v>
      </c>
      <c r="L10" s="424" t="s">
        <v>132</v>
      </c>
      <c r="M10" s="439" t="s">
        <v>133</v>
      </c>
      <c r="N10" s="440" t="s">
        <v>134</v>
      </c>
      <c r="O10" s="441" t="s">
        <v>135</v>
      </c>
      <c r="P10" s="442" t="s">
        <v>136</v>
      </c>
      <c r="Q10" s="416" t="s">
        <v>137</v>
      </c>
      <c r="R10" s="442" t="s">
        <v>137</v>
      </c>
      <c r="S10" s="442" t="s">
        <v>136</v>
      </c>
      <c r="T10" s="443" t="s">
        <v>138</v>
      </c>
      <c r="U10" s="427" t="s">
        <v>139</v>
      </c>
      <c r="V10" s="427" t="s">
        <v>140</v>
      </c>
      <c r="W10" s="444"/>
    </row>
    <row r="11" spans="1:24" s="431" customFormat="1" ht="12" thickBot="1" x14ac:dyDescent="0.25">
      <c r="A11" s="445" t="s">
        <v>141</v>
      </c>
      <c r="B11" s="446" t="s">
        <v>141</v>
      </c>
      <c r="C11" s="447" t="s">
        <v>142</v>
      </c>
      <c r="D11" s="448" t="s">
        <v>143</v>
      </c>
      <c r="E11" s="449" t="s">
        <v>143</v>
      </c>
      <c r="F11" s="450" t="s">
        <v>143</v>
      </c>
      <c r="G11" s="451" t="s">
        <v>143</v>
      </c>
      <c r="H11" s="452" t="s">
        <v>143</v>
      </c>
      <c r="I11" s="452" t="s">
        <v>143</v>
      </c>
      <c r="J11" s="452" t="s">
        <v>143</v>
      </c>
      <c r="K11" s="452" t="s">
        <v>143</v>
      </c>
      <c r="L11" s="453" t="s">
        <v>143</v>
      </c>
      <c r="M11" s="454" t="s">
        <v>144</v>
      </c>
      <c r="N11" s="455" t="s">
        <v>142</v>
      </c>
      <c r="O11" s="456" t="s">
        <v>142</v>
      </c>
      <c r="P11" s="457" t="s">
        <v>145</v>
      </c>
      <c r="Q11" s="458" t="s">
        <v>146</v>
      </c>
      <c r="R11" s="459" t="s">
        <v>36</v>
      </c>
      <c r="S11" s="459" t="s">
        <v>147</v>
      </c>
      <c r="T11" s="460"/>
      <c r="U11" s="461"/>
      <c r="V11" s="462" t="s">
        <v>143</v>
      </c>
      <c r="W11" s="444"/>
    </row>
    <row r="12" spans="1:2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71"/>
      <c r="N12" s="472"/>
      <c r="O12" s="473"/>
      <c r="P12" s="474"/>
      <c r="Q12" s="475"/>
      <c r="R12" s="476"/>
      <c r="S12" s="477"/>
      <c r="T12" s="478"/>
      <c r="U12" s="479" t="s">
        <v>161</v>
      </c>
      <c r="V12" s="480">
        <v>800</v>
      </c>
      <c r="W12" s="481"/>
    </row>
    <row r="13" spans="1:24" s="431" customFormat="1" x14ac:dyDescent="0.3">
      <c r="A13" s="482">
        <v>240</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 t="shared" ref="O13:O19" si="0">(C13+C14-10)/2</f>
        <v>10</v>
      </c>
      <c r="P13" s="491">
        <f>(A13-B13)/M13</f>
        <v>0.24</v>
      </c>
      <c r="Q13" s="492">
        <f>(P13*(O13-N13))/100</f>
        <v>2.4E-2</v>
      </c>
      <c r="R13" s="493">
        <f>SUM(Q$13:Q13)</f>
        <v>2.4E-2</v>
      </c>
      <c r="S13" s="494">
        <f>R13/O13*100</f>
        <v>0.24000000000000002</v>
      </c>
      <c r="T13" s="495"/>
      <c r="U13" s="496"/>
      <c r="V13" s="497"/>
      <c r="W13" s="444"/>
    </row>
    <row r="14" spans="1:24" s="431" customFormat="1" x14ac:dyDescent="0.3">
      <c r="A14" s="482">
        <v>220</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 t="shared" ref="N14:N20" si="1">(C13+C14-10)/2</f>
        <v>10</v>
      </c>
      <c r="O14" s="490">
        <f t="shared" si="0"/>
        <v>20</v>
      </c>
      <c r="P14" s="491">
        <f t="shared" ref="P14:P20" si="2">(A14-B14)/M14</f>
        <v>0.22</v>
      </c>
      <c r="Q14" s="492">
        <f t="shared" ref="Q14:Q19" si="3">(P14*(O14-N14))/100</f>
        <v>2.2000000000000002E-2</v>
      </c>
      <c r="R14" s="493">
        <f>SUM(Q$13:Q14)</f>
        <v>4.5999999999999999E-2</v>
      </c>
      <c r="S14" s="494">
        <f t="shared" ref="S14:S20" si="4">R14/O14*100</f>
        <v>0.22999999999999998</v>
      </c>
      <c r="T14" s="495"/>
      <c r="U14" s="496"/>
      <c r="V14" s="497"/>
      <c r="W14" s="444"/>
    </row>
    <row r="15" spans="1:24" s="431" customFormat="1" x14ac:dyDescent="0.3">
      <c r="A15" s="482">
        <v>255</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 t="shared" si="1"/>
        <v>20</v>
      </c>
      <c r="O15" s="490">
        <f t="shared" si="0"/>
        <v>30</v>
      </c>
      <c r="P15" s="491">
        <f t="shared" si="2"/>
        <v>0.255</v>
      </c>
      <c r="Q15" s="492">
        <f t="shared" si="3"/>
        <v>2.5499999999999998E-2</v>
      </c>
      <c r="R15" s="493">
        <f>SUM(Q$13:Q15)</f>
        <v>7.1499999999999994E-2</v>
      </c>
      <c r="S15" s="494">
        <f t="shared" si="4"/>
        <v>0.23833333333333331</v>
      </c>
      <c r="T15" s="495"/>
      <c r="U15" s="496"/>
      <c r="V15" s="498"/>
      <c r="W15" s="444"/>
    </row>
    <row r="16" spans="1:24" s="431" customFormat="1" x14ac:dyDescent="0.3">
      <c r="A16" s="499">
        <v>260</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 t="shared" si="1"/>
        <v>30</v>
      </c>
      <c r="O16" s="490">
        <f t="shared" si="0"/>
        <v>40</v>
      </c>
      <c r="P16" s="491">
        <f t="shared" si="2"/>
        <v>0.26</v>
      </c>
      <c r="Q16" s="492">
        <f>(P16*(O16-N16))/100</f>
        <v>2.6000000000000002E-2</v>
      </c>
      <c r="R16" s="493">
        <f>SUM(Q$13:Q16)</f>
        <v>9.7500000000000003E-2</v>
      </c>
      <c r="S16" s="494">
        <f t="shared" si="4"/>
        <v>0.24374999999999999</v>
      </c>
      <c r="T16" s="495"/>
      <c r="U16" s="496"/>
      <c r="V16" s="497"/>
      <c r="W16" s="444"/>
    </row>
    <row r="17" spans="1:25" s="431" customFormat="1" x14ac:dyDescent="0.3">
      <c r="A17" s="499">
        <v>285</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 t="shared" si="1"/>
        <v>40</v>
      </c>
      <c r="O17" s="490">
        <f t="shared" si="0"/>
        <v>50</v>
      </c>
      <c r="P17" s="491">
        <f t="shared" si="2"/>
        <v>0.28499999999999998</v>
      </c>
      <c r="Q17" s="492">
        <f>(P17*(O17-N17))/100</f>
        <v>2.8499999999999998E-2</v>
      </c>
      <c r="R17" s="493">
        <f>SUM(Q$13:Q17)</f>
        <v>0.126</v>
      </c>
      <c r="S17" s="494">
        <f t="shared" si="4"/>
        <v>0.252</v>
      </c>
      <c r="T17" s="495" t="s">
        <v>151</v>
      </c>
      <c r="U17" s="496"/>
      <c r="V17" s="497"/>
      <c r="W17" s="429"/>
    </row>
    <row r="18" spans="1:25" s="431" customFormat="1" x14ac:dyDescent="0.3">
      <c r="A18" s="499">
        <v>300</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 t="shared" si="1"/>
        <v>50</v>
      </c>
      <c r="O18" s="490">
        <f t="shared" si="0"/>
        <v>60</v>
      </c>
      <c r="P18" s="491">
        <f t="shared" si="2"/>
        <v>0.3</v>
      </c>
      <c r="Q18" s="492">
        <f t="shared" si="3"/>
        <v>0.03</v>
      </c>
      <c r="R18" s="493">
        <f>SUM(Q$13:Q18)</f>
        <v>0.156</v>
      </c>
      <c r="S18" s="494">
        <f t="shared" si="4"/>
        <v>0.26</v>
      </c>
      <c r="T18" s="500"/>
      <c r="U18" s="496"/>
      <c r="V18" s="497"/>
      <c r="W18" s="429"/>
    </row>
    <row r="19" spans="1:25" s="431" customFormat="1" ht="10.199999999999999" customHeight="1" x14ac:dyDescent="0.3">
      <c r="A19" s="499">
        <v>300</v>
      </c>
      <c r="B19" s="483">
        <v>0</v>
      </c>
      <c r="C19" s="471">
        <v>70</v>
      </c>
      <c r="D19" s="484" t="s">
        <v>149</v>
      </c>
      <c r="E19" s="485" t="s">
        <v>149</v>
      </c>
      <c r="F19" s="486" t="s">
        <v>149</v>
      </c>
      <c r="G19" s="487" t="s">
        <v>149</v>
      </c>
      <c r="H19" s="485" t="s">
        <v>149</v>
      </c>
      <c r="I19" s="485" t="s">
        <v>149</v>
      </c>
      <c r="J19" s="485" t="s">
        <v>149</v>
      </c>
      <c r="K19" s="485" t="s">
        <v>149</v>
      </c>
      <c r="L19" s="488" t="s">
        <v>149</v>
      </c>
      <c r="M19" s="471">
        <v>1000</v>
      </c>
      <c r="N19" s="489">
        <f t="shared" si="1"/>
        <v>60</v>
      </c>
      <c r="O19" s="490">
        <f t="shared" si="0"/>
        <v>70</v>
      </c>
      <c r="P19" s="491">
        <f t="shared" si="2"/>
        <v>0.3</v>
      </c>
      <c r="Q19" s="492">
        <f t="shared" si="3"/>
        <v>0.03</v>
      </c>
      <c r="R19" s="493">
        <f>SUM(Q$13:Q19)</f>
        <v>0.186</v>
      </c>
      <c r="S19" s="494">
        <f t="shared" si="4"/>
        <v>0.26571428571428568</v>
      </c>
      <c r="T19" s="500" t="s">
        <v>246</v>
      </c>
      <c r="U19" s="496"/>
      <c r="V19" s="497"/>
      <c r="W19" s="501"/>
    </row>
    <row r="20" spans="1:25" s="431" customFormat="1" x14ac:dyDescent="0.3">
      <c r="A20" s="499">
        <v>300</v>
      </c>
      <c r="B20" s="483">
        <v>0</v>
      </c>
      <c r="C20" s="471">
        <v>80</v>
      </c>
      <c r="D20" s="484" t="s">
        <v>149</v>
      </c>
      <c r="E20" s="485" t="s">
        <v>149</v>
      </c>
      <c r="F20" s="486" t="s">
        <v>149</v>
      </c>
      <c r="G20" s="487" t="s">
        <v>149</v>
      </c>
      <c r="H20" s="485" t="s">
        <v>149</v>
      </c>
      <c r="I20" s="485" t="s">
        <v>149</v>
      </c>
      <c r="J20" s="485" t="s">
        <v>149</v>
      </c>
      <c r="K20" s="485" t="s">
        <v>149</v>
      </c>
      <c r="L20" s="488" t="s">
        <v>149</v>
      </c>
      <c r="M20" s="471">
        <v>1000</v>
      </c>
      <c r="N20" s="489">
        <f t="shared" si="1"/>
        <v>70</v>
      </c>
      <c r="O20" s="490">
        <f>(C20+C25-G25)/2</f>
        <v>74.5</v>
      </c>
      <c r="P20" s="491">
        <f t="shared" si="2"/>
        <v>0.3</v>
      </c>
      <c r="Q20" s="492">
        <f>(P20*(O20-N20))/100</f>
        <v>1.3499999999999998E-2</v>
      </c>
      <c r="R20" s="493">
        <f>SUM(Q$13:Q20)</f>
        <v>0.19950000000000001</v>
      </c>
      <c r="S20" s="494">
        <f t="shared" si="4"/>
        <v>0.26778523489932887</v>
      </c>
      <c r="T20" s="495"/>
      <c r="U20" s="496"/>
      <c r="V20" s="497"/>
      <c r="W20" s="502"/>
    </row>
    <row r="21" spans="1:25" s="504" customFormat="1" x14ac:dyDescent="0.3">
      <c r="A21" s="499"/>
      <c r="B21" s="483"/>
      <c r="C21" s="471"/>
      <c r="D21" s="484"/>
      <c r="E21" s="485"/>
      <c r="F21" s="486"/>
      <c r="G21" s="487"/>
      <c r="H21" s="485"/>
      <c r="I21" s="485"/>
      <c r="J21" s="485"/>
      <c r="K21" s="485"/>
      <c r="L21" s="488"/>
      <c r="M21" s="471"/>
      <c r="N21" s="489"/>
      <c r="O21" s="490"/>
      <c r="P21" s="491"/>
      <c r="Q21" s="492"/>
      <c r="R21" s="493"/>
      <c r="S21" s="494"/>
      <c r="T21" s="503"/>
      <c r="U21" s="496"/>
      <c r="V21" s="497"/>
      <c r="W21" s="502"/>
    </row>
    <row r="22" spans="1:25" s="504" customFormat="1" x14ac:dyDescent="0.3">
      <c r="A22" s="499"/>
      <c r="B22" s="483"/>
      <c r="C22" s="471"/>
      <c r="D22" s="484"/>
      <c r="E22" s="485"/>
      <c r="F22" s="486"/>
      <c r="G22" s="487"/>
      <c r="H22" s="485"/>
      <c r="I22" s="485"/>
      <c r="J22" s="485"/>
      <c r="K22" s="485"/>
      <c r="L22" s="488"/>
      <c r="M22" s="471"/>
      <c r="N22" s="489"/>
      <c r="O22" s="490"/>
      <c r="P22" s="491"/>
      <c r="Q22" s="492"/>
      <c r="R22" s="493"/>
      <c r="S22" s="494"/>
      <c r="T22" s="505"/>
      <c r="U22" s="496"/>
      <c r="V22" s="506"/>
      <c r="W22" s="502"/>
    </row>
    <row r="23" spans="1:25" s="504" customFormat="1" ht="10.8" thickBot="1" x14ac:dyDescent="0.35">
      <c r="A23" s="507"/>
      <c r="B23" s="508"/>
      <c r="C23" s="509"/>
      <c r="D23" s="510"/>
      <c r="E23" s="509"/>
      <c r="F23" s="511"/>
      <c r="G23" s="512"/>
      <c r="H23" s="509"/>
      <c r="I23" s="509"/>
      <c r="J23" s="509"/>
      <c r="K23" s="509"/>
      <c r="L23" s="513"/>
      <c r="M23" s="509"/>
      <c r="N23" s="514"/>
      <c r="O23" s="515"/>
      <c r="P23" s="516"/>
      <c r="Q23" s="517"/>
      <c r="R23" s="518"/>
      <c r="S23" s="519"/>
      <c r="T23" s="520"/>
      <c r="U23" s="496"/>
      <c r="V23" s="521"/>
      <c r="W23" s="522"/>
    </row>
    <row r="24" spans="1:25" s="504" customFormat="1" x14ac:dyDescent="0.3">
      <c r="A24" s="523" t="s">
        <v>152</v>
      </c>
      <c r="B24" s="483"/>
      <c r="C24" s="471"/>
      <c r="D24" s="524"/>
      <c r="E24" s="471"/>
      <c r="F24" s="525"/>
      <c r="G24" s="526"/>
      <c r="H24" s="471"/>
      <c r="I24" s="471"/>
      <c r="J24" s="471"/>
      <c r="K24" s="471"/>
      <c r="L24" s="527"/>
      <c r="M24" s="471"/>
      <c r="N24" s="489"/>
      <c r="O24" s="490"/>
      <c r="P24" s="491"/>
      <c r="Q24" s="492"/>
      <c r="R24" s="493"/>
      <c r="S24" s="494"/>
      <c r="T24" s="505"/>
      <c r="U24" s="496"/>
      <c r="V24" s="521"/>
      <c r="W24" s="522"/>
    </row>
    <row r="25" spans="1:25" s="504" customFormat="1" x14ac:dyDescent="0.3">
      <c r="A25" s="499">
        <v>910</v>
      </c>
      <c r="B25" s="483">
        <v>0</v>
      </c>
      <c r="C25" s="471">
        <v>162</v>
      </c>
      <c r="D25" s="528">
        <v>93</v>
      </c>
      <c r="E25" s="529"/>
      <c r="F25" s="530"/>
      <c r="G25" s="531">
        <f t="shared" ref="G25:G43" si="5">AVERAGE(D25:F25)</f>
        <v>93</v>
      </c>
      <c r="H25" s="529">
        <v>5.7</v>
      </c>
      <c r="I25" s="529"/>
      <c r="J25" s="529"/>
      <c r="K25" s="529"/>
      <c r="L25" s="532">
        <f t="shared" ref="L25:L38" si="6">AVERAGE(H25:K25)</f>
        <v>5.7</v>
      </c>
      <c r="M25" s="471">
        <f>G25*    PI()* (L25/2)^2</f>
        <v>2373.1355285768277</v>
      </c>
      <c r="N25" s="489">
        <f>(C20+C25-G25)/2</f>
        <v>74.5</v>
      </c>
      <c r="O25" s="490">
        <f>(C25+C26-G26)/2</f>
        <v>162.5</v>
      </c>
      <c r="P25" s="491">
        <f>(A25-B25)/M25</f>
        <v>0.38345892556154521</v>
      </c>
      <c r="Q25" s="492">
        <f t="shared" ref="Q25:Q37" si="7">(P25*(O25-N25))/100</f>
        <v>0.33744385449415981</v>
      </c>
      <c r="R25" s="493">
        <f>SUM(Q$13:Q25)</f>
        <v>0.53694385449415982</v>
      </c>
      <c r="S25" s="494">
        <f t="shared" ref="S25:S37" si="8">R25/O25*100</f>
        <v>0.33042698738102144</v>
      </c>
      <c r="T25" s="505"/>
      <c r="U25" s="496"/>
      <c r="V25" s="521"/>
      <c r="W25" s="522"/>
    </row>
    <row r="26" spans="1:25" s="504" customFormat="1" x14ac:dyDescent="0.3">
      <c r="A26" s="499">
        <v>710</v>
      </c>
      <c r="B26" s="483">
        <v>0</v>
      </c>
      <c r="C26" s="471">
        <v>234</v>
      </c>
      <c r="D26" s="528">
        <v>71</v>
      </c>
      <c r="E26" s="529"/>
      <c r="F26" s="530"/>
      <c r="G26" s="531">
        <f t="shared" si="5"/>
        <v>71</v>
      </c>
      <c r="H26" s="529">
        <v>5.7</v>
      </c>
      <c r="I26" s="529"/>
      <c r="J26" s="529"/>
      <c r="K26" s="529"/>
      <c r="L26" s="532">
        <f t="shared" si="6"/>
        <v>5.7</v>
      </c>
      <c r="M26" s="471">
        <f t="shared" ref="M26:M37" si="9">G26*    PI()* (L26/2)^2</f>
        <v>1811.7486293436</v>
      </c>
      <c r="N26" s="489">
        <f>(C25+C26-G26)/2</f>
        <v>162.5</v>
      </c>
      <c r="O26" s="490">
        <f>(C26+C27-G27)/2</f>
        <v>233.75</v>
      </c>
      <c r="P26" s="491">
        <f>(A26-B26)/M26</f>
        <v>0.39188659425520544</v>
      </c>
      <c r="Q26" s="492">
        <f t="shared" si="7"/>
        <v>0.27921919840683385</v>
      </c>
      <c r="R26" s="493">
        <f>SUM(Q$13:Q26)</f>
        <v>0.81616305290099367</v>
      </c>
      <c r="S26" s="494">
        <f t="shared" si="8"/>
        <v>0.34916066434267107</v>
      </c>
      <c r="T26" s="505"/>
      <c r="U26" s="496"/>
      <c r="V26" s="497"/>
      <c r="W26" s="522"/>
    </row>
    <row r="27" spans="1:25" s="504" customFormat="1" x14ac:dyDescent="0.3">
      <c r="A27" s="499">
        <v>755</v>
      </c>
      <c r="B27" s="483">
        <v>0</v>
      </c>
      <c r="C27" s="471">
        <v>303</v>
      </c>
      <c r="D27" s="528">
        <v>69.5</v>
      </c>
      <c r="E27" s="529"/>
      <c r="F27" s="530"/>
      <c r="G27" s="531">
        <f t="shared" si="5"/>
        <v>69.5</v>
      </c>
      <c r="H27" s="529">
        <v>5.7</v>
      </c>
      <c r="I27" s="529"/>
      <c r="J27" s="529"/>
      <c r="K27" s="529"/>
      <c r="L27" s="532">
        <f t="shared" si="6"/>
        <v>5.7</v>
      </c>
      <c r="M27" s="471">
        <f t="shared" si="9"/>
        <v>1773.4722498504252</v>
      </c>
      <c r="N27" s="489">
        <f t="shared" ref="N27:N37" si="10">(C26+C27-G27)/2</f>
        <v>233.75</v>
      </c>
      <c r="O27" s="490">
        <f t="shared" ref="O27:O37" si="11">(C27+C28-G28)/2</f>
        <v>301.75</v>
      </c>
      <c r="P27" s="491">
        <f>(A27-B27)/M27</f>
        <v>0.42571853044989949</v>
      </c>
      <c r="Q27" s="492">
        <f t="shared" si="7"/>
        <v>0.28948860070593169</v>
      </c>
      <c r="R27" s="493">
        <f>SUM(Q$13:Q27)</f>
        <v>1.1056516536069254</v>
      </c>
      <c r="S27" s="494">
        <f t="shared" si="8"/>
        <v>0.36641314121190571</v>
      </c>
      <c r="T27" s="505"/>
      <c r="U27" s="496"/>
      <c r="V27" s="497"/>
      <c r="W27" s="522"/>
    </row>
    <row r="28" spans="1:25" s="504" customFormat="1" x14ac:dyDescent="0.3">
      <c r="A28" s="499">
        <v>485</v>
      </c>
      <c r="B28" s="483">
        <v>0</v>
      </c>
      <c r="C28" s="471">
        <f>C29-D29</f>
        <v>342</v>
      </c>
      <c r="D28" s="528">
        <v>41.5</v>
      </c>
      <c r="E28" s="529"/>
      <c r="F28" s="530"/>
      <c r="G28" s="531">
        <f t="shared" si="5"/>
        <v>41.5</v>
      </c>
      <c r="H28" s="529">
        <v>5.7</v>
      </c>
      <c r="I28" s="529"/>
      <c r="J28" s="529"/>
      <c r="K28" s="529"/>
      <c r="L28" s="532">
        <f t="shared" si="6"/>
        <v>5.7</v>
      </c>
      <c r="M28" s="471">
        <f t="shared" si="9"/>
        <v>1058.9798326444986</v>
      </c>
      <c r="N28" s="489">
        <f t="shared" si="10"/>
        <v>301.75</v>
      </c>
      <c r="O28" s="490">
        <f t="shared" si="11"/>
        <v>342</v>
      </c>
      <c r="P28" s="491">
        <f t="shared" ref="P28:P37" si="12">(A28-B28)/M28</f>
        <v>0.45798794750307142</v>
      </c>
      <c r="Q28" s="492">
        <f t="shared" si="7"/>
        <v>0.18434014886998626</v>
      </c>
      <c r="R28" s="493">
        <f>SUM(Q$13:Q28)</f>
        <v>1.2899918024769117</v>
      </c>
      <c r="S28" s="494">
        <f t="shared" si="8"/>
        <v>0.3771905855195648</v>
      </c>
      <c r="T28" s="505"/>
      <c r="U28" s="496"/>
      <c r="V28" s="497"/>
      <c r="W28" s="522"/>
    </row>
    <row r="29" spans="1:25" x14ac:dyDescent="0.2">
      <c r="A29" s="499">
        <v>595</v>
      </c>
      <c r="B29" s="483">
        <v>0</v>
      </c>
      <c r="C29" s="471">
        <v>393</v>
      </c>
      <c r="D29" s="528">
        <v>51</v>
      </c>
      <c r="E29" s="529"/>
      <c r="F29" s="530"/>
      <c r="G29" s="531">
        <f t="shared" si="5"/>
        <v>51</v>
      </c>
      <c r="H29" s="529">
        <v>5.7</v>
      </c>
      <c r="I29" s="529"/>
      <c r="J29" s="529"/>
      <c r="K29" s="529"/>
      <c r="L29" s="532">
        <f t="shared" si="6"/>
        <v>5.7</v>
      </c>
      <c r="M29" s="471">
        <f t="shared" si="9"/>
        <v>1301.3969027679379</v>
      </c>
      <c r="N29" s="489">
        <f t="shared" si="10"/>
        <v>342</v>
      </c>
      <c r="O29" s="490">
        <f t="shared" si="11"/>
        <v>393.75</v>
      </c>
      <c r="P29" s="491">
        <f t="shared" si="12"/>
        <v>0.45720102663107304</v>
      </c>
      <c r="Q29" s="492">
        <f t="shared" si="7"/>
        <v>0.23660153128158029</v>
      </c>
      <c r="R29" s="493">
        <f>SUM(Q$13:Q29)</f>
        <v>1.526593333758492</v>
      </c>
      <c r="S29" s="494">
        <f t="shared" si="8"/>
        <v>0.38770624349422023</v>
      </c>
      <c r="T29" s="505"/>
      <c r="U29" s="496"/>
      <c r="V29" s="497"/>
      <c r="W29" s="522"/>
      <c r="X29" s="504"/>
      <c r="Y29" s="504"/>
    </row>
    <row r="30" spans="1:25" x14ac:dyDescent="0.2">
      <c r="A30" s="499">
        <v>615</v>
      </c>
      <c r="B30" s="483">
        <v>0</v>
      </c>
      <c r="C30" s="471">
        <v>445</v>
      </c>
      <c r="D30" s="528">
        <v>50.5</v>
      </c>
      <c r="E30" s="529"/>
      <c r="F30" s="530"/>
      <c r="G30" s="531">
        <f t="shared" si="5"/>
        <v>50.5</v>
      </c>
      <c r="H30" s="529">
        <v>5.7</v>
      </c>
      <c r="I30" s="529"/>
      <c r="J30" s="529"/>
      <c r="K30" s="529"/>
      <c r="L30" s="532">
        <f t="shared" si="6"/>
        <v>5.7</v>
      </c>
      <c r="M30" s="471">
        <f t="shared" si="9"/>
        <v>1288.6381096035464</v>
      </c>
      <c r="N30" s="489">
        <f t="shared" si="10"/>
        <v>393.75</v>
      </c>
      <c r="O30" s="490">
        <f t="shared" si="11"/>
        <v>440.25</v>
      </c>
      <c r="P30" s="491">
        <f t="shared" si="12"/>
        <v>0.4772480306276265</v>
      </c>
      <c r="Q30" s="492">
        <f t="shared" si="7"/>
        <v>0.22192033424184632</v>
      </c>
      <c r="R30" s="493">
        <f>SUM(Q$13:Q30)</f>
        <v>1.7485136680003384</v>
      </c>
      <c r="S30" s="494">
        <f t="shared" si="8"/>
        <v>0.39716380874510804</v>
      </c>
      <c r="T30" s="505"/>
      <c r="U30" s="496"/>
      <c r="V30" s="497"/>
      <c r="W30" s="522"/>
      <c r="X30" s="504"/>
      <c r="Y30" s="504"/>
    </row>
    <row r="31" spans="1:25" x14ac:dyDescent="0.2">
      <c r="A31" s="499">
        <v>550</v>
      </c>
      <c r="B31" s="483">
        <v>0</v>
      </c>
      <c r="C31" s="471">
        <f>C32-D32</f>
        <v>478</v>
      </c>
      <c r="D31" s="528">
        <v>42.5</v>
      </c>
      <c r="E31" s="529"/>
      <c r="F31" s="530"/>
      <c r="G31" s="531">
        <f t="shared" si="5"/>
        <v>42.5</v>
      </c>
      <c r="H31" s="529">
        <v>5.7</v>
      </c>
      <c r="I31" s="529"/>
      <c r="J31" s="529"/>
      <c r="K31" s="529"/>
      <c r="L31" s="532">
        <f t="shared" si="6"/>
        <v>5.7</v>
      </c>
      <c r="M31" s="471">
        <f t="shared" si="9"/>
        <v>1084.4974189732816</v>
      </c>
      <c r="N31" s="489">
        <f t="shared" si="10"/>
        <v>440.25</v>
      </c>
      <c r="O31" s="490">
        <f t="shared" si="11"/>
        <v>478</v>
      </c>
      <c r="P31" s="491">
        <f t="shared" si="12"/>
        <v>0.50714735727144244</v>
      </c>
      <c r="Q31" s="492">
        <f t="shared" si="7"/>
        <v>0.19144812736996955</v>
      </c>
      <c r="R31" s="493">
        <f>SUM(Q$13:Q31)</f>
        <v>1.9399617953703079</v>
      </c>
      <c r="S31" s="494">
        <f t="shared" si="8"/>
        <v>0.40584974798542012</v>
      </c>
      <c r="T31" s="505"/>
      <c r="U31" s="496"/>
      <c r="V31" s="497"/>
      <c r="W31" s="522"/>
      <c r="X31" s="504"/>
      <c r="Y31" s="504"/>
    </row>
    <row r="32" spans="1:25" x14ac:dyDescent="0.2">
      <c r="A32" s="499">
        <v>570</v>
      </c>
      <c r="B32" s="483">
        <v>0</v>
      </c>
      <c r="C32" s="471">
        <v>523</v>
      </c>
      <c r="D32" s="528">
        <v>45</v>
      </c>
      <c r="E32" s="529"/>
      <c r="F32" s="530"/>
      <c r="G32" s="531">
        <f t="shared" si="5"/>
        <v>45</v>
      </c>
      <c r="H32" s="529">
        <v>5.7</v>
      </c>
      <c r="I32" s="529"/>
      <c r="J32" s="529"/>
      <c r="K32" s="529"/>
      <c r="L32" s="532">
        <f t="shared" si="6"/>
        <v>5.7</v>
      </c>
      <c r="M32" s="471">
        <f t="shared" si="9"/>
        <v>1148.2913847952393</v>
      </c>
      <c r="N32" s="489">
        <f t="shared" si="10"/>
        <v>478</v>
      </c>
      <c r="O32" s="490">
        <f t="shared" si="11"/>
        <v>525.5</v>
      </c>
      <c r="P32" s="491">
        <f t="shared" si="12"/>
        <v>0.49638968605659362</v>
      </c>
      <c r="Q32" s="492">
        <f t="shared" si="7"/>
        <v>0.23578510087688198</v>
      </c>
      <c r="R32" s="493">
        <f>SUM(Q$13:Q32)</f>
        <v>2.17574689624719</v>
      </c>
      <c r="S32" s="494">
        <f t="shared" si="8"/>
        <v>0.41403366246378498</v>
      </c>
      <c r="T32" s="505"/>
      <c r="U32" s="496"/>
      <c r="V32" s="497"/>
      <c r="W32" s="522"/>
      <c r="X32" s="504"/>
      <c r="Y32" s="504"/>
    </row>
    <row r="33" spans="1:26" x14ac:dyDescent="0.2">
      <c r="A33" s="499">
        <v>900</v>
      </c>
      <c r="B33" s="483">
        <v>0</v>
      </c>
      <c r="C33" s="471">
        <v>595</v>
      </c>
      <c r="D33" s="528">
        <v>67</v>
      </c>
      <c r="E33" s="529"/>
      <c r="F33" s="530"/>
      <c r="G33" s="531">
        <f t="shared" si="5"/>
        <v>67</v>
      </c>
      <c r="H33" s="529">
        <v>5.7</v>
      </c>
      <c r="I33" s="529"/>
      <c r="J33" s="529"/>
      <c r="K33" s="529"/>
      <c r="L33" s="532">
        <f t="shared" si="6"/>
        <v>5.7</v>
      </c>
      <c r="M33" s="471">
        <f t="shared" si="9"/>
        <v>1709.6782840284675</v>
      </c>
      <c r="N33" s="489">
        <f t="shared" si="10"/>
        <v>525.5</v>
      </c>
      <c r="O33" s="490">
        <f t="shared" si="11"/>
        <v>590.25</v>
      </c>
      <c r="P33" s="491">
        <f t="shared" si="12"/>
        <v>0.52641482810400742</v>
      </c>
      <c r="Q33" s="492">
        <f t="shared" si="7"/>
        <v>0.34085360119734481</v>
      </c>
      <c r="R33" s="493">
        <f>SUM(Q$13:Q33)</f>
        <v>2.5166004974445348</v>
      </c>
      <c r="S33" s="494">
        <f t="shared" si="8"/>
        <v>0.42636179541627017</v>
      </c>
      <c r="T33" s="505"/>
      <c r="U33" s="496"/>
      <c r="V33" s="497"/>
      <c r="W33" s="522"/>
      <c r="X33" s="504"/>
      <c r="Y33" s="504"/>
    </row>
    <row r="34" spans="1:26" x14ac:dyDescent="0.2">
      <c r="A34" s="499">
        <v>760</v>
      </c>
      <c r="B34" s="483">
        <v>0</v>
      </c>
      <c r="C34" s="471">
        <f>C35-D35</f>
        <v>644</v>
      </c>
      <c r="D34" s="528">
        <v>58.5</v>
      </c>
      <c r="E34" s="529"/>
      <c r="F34" s="530"/>
      <c r="G34" s="531">
        <f t="shared" si="5"/>
        <v>58.5</v>
      </c>
      <c r="H34" s="529">
        <v>5.7</v>
      </c>
      <c r="I34" s="529"/>
      <c r="J34" s="529"/>
      <c r="K34" s="529"/>
      <c r="L34" s="532">
        <f t="shared" si="6"/>
        <v>5.7</v>
      </c>
      <c r="M34" s="471">
        <f t="shared" si="9"/>
        <v>1492.7788002338111</v>
      </c>
      <c r="N34" s="489">
        <f t="shared" si="10"/>
        <v>590.25</v>
      </c>
      <c r="O34" s="490">
        <f t="shared" si="11"/>
        <v>644</v>
      </c>
      <c r="P34" s="491">
        <f t="shared" si="12"/>
        <v>0.50911762672471139</v>
      </c>
      <c r="Q34" s="492">
        <f t="shared" si="7"/>
        <v>0.27365072436453236</v>
      </c>
      <c r="R34" s="493">
        <f>SUM(Q$13:Q34)</f>
        <v>2.7902512218090672</v>
      </c>
      <c r="S34" s="494">
        <f t="shared" si="8"/>
        <v>0.43326882326227745</v>
      </c>
      <c r="T34" s="505"/>
      <c r="U34" s="496"/>
      <c r="V34" s="497"/>
      <c r="W34" s="534"/>
    </row>
    <row r="35" spans="1:26" x14ac:dyDescent="0.2">
      <c r="A35" s="499">
        <v>280</v>
      </c>
      <c r="B35" s="483">
        <v>0</v>
      </c>
      <c r="C35" s="471">
        <v>664</v>
      </c>
      <c r="D35" s="528">
        <v>20</v>
      </c>
      <c r="E35" s="529"/>
      <c r="F35" s="530"/>
      <c r="G35" s="531">
        <f t="shared" si="5"/>
        <v>20</v>
      </c>
      <c r="H35" s="529">
        <v>5.7</v>
      </c>
      <c r="I35" s="529"/>
      <c r="J35" s="529"/>
      <c r="K35" s="529"/>
      <c r="L35" s="532">
        <f t="shared" si="6"/>
        <v>5.7</v>
      </c>
      <c r="M35" s="471">
        <f t="shared" si="9"/>
        <v>510.35172657566193</v>
      </c>
      <c r="N35" s="489">
        <f t="shared" si="10"/>
        <v>644</v>
      </c>
      <c r="O35" s="490">
        <f t="shared" si="11"/>
        <v>663.5</v>
      </c>
      <c r="P35" s="491">
        <f t="shared" si="12"/>
        <v>0.54864123195728765</v>
      </c>
      <c r="Q35" s="492">
        <f t="shared" si="7"/>
        <v>0.10698504023167109</v>
      </c>
      <c r="R35" s="493">
        <f>SUM(Q$13:Q35)</f>
        <v>2.8972362620407384</v>
      </c>
      <c r="S35" s="494">
        <f t="shared" si="8"/>
        <v>0.43665957227441421</v>
      </c>
      <c r="T35" s="505"/>
      <c r="U35" s="496"/>
      <c r="V35" s="497"/>
      <c r="W35" s="535"/>
      <c r="X35" s="536"/>
      <c r="Y35" s="537"/>
      <c r="Z35" s="536"/>
    </row>
    <row r="36" spans="1:26" x14ac:dyDescent="0.2">
      <c r="A36" s="499">
        <v>870</v>
      </c>
      <c r="B36" s="483">
        <v>0</v>
      </c>
      <c r="C36" s="471">
        <v>727</v>
      </c>
      <c r="D36" s="528">
        <v>64</v>
      </c>
      <c r="E36" s="529"/>
      <c r="F36" s="530"/>
      <c r="G36" s="531">
        <f t="shared" si="5"/>
        <v>64</v>
      </c>
      <c r="H36" s="529">
        <v>5.7</v>
      </c>
      <c r="I36" s="529"/>
      <c r="J36" s="529"/>
      <c r="K36" s="529"/>
      <c r="L36" s="532">
        <f t="shared" si="6"/>
        <v>5.7</v>
      </c>
      <c r="M36" s="471">
        <f t="shared" si="9"/>
        <v>1633.1255250421182</v>
      </c>
      <c r="N36" s="489">
        <f t="shared" si="10"/>
        <v>663.5</v>
      </c>
      <c r="O36" s="490">
        <f t="shared" si="11"/>
        <v>727</v>
      </c>
      <c r="P36" s="491">
        <f t="shared" si="12"/>
        <v>0.53272083906566992</v>
      </c>
      <c r="Q36" s="492">
        <f t="shared" si="7"/>
        <v>0.33827773280670037</v>
      </c>
      <c r="R36" s="493">
        <f>SUM(Q$13:Q36)</f>
        <v>3.2355139948474387</v>
      </c>
      <c r="S36" s="494">
        <f t="shared" si="8"/>
        <v>0.44505006806704794</v>
      </c>
      <c r="T36" s="505"/>
      <c r="U36" s="496"/>
      <c r="V36" s="497"/>
      <c r="W36" s="535"/>
      <c r="X36" s="536"/>
      <c r="Y36" s="538"/>
      <c r="Z36" s="536"/>
    </row>
    <row r="37" spans="1:26" x14ac:dyDescent="0.2">
      <c r="A37" s="499">
        <v>565</v>
      </c>
      <c r="B37" s="483">
        <v>0</v>
      </c>
      <c r="C37" s="471">
        <v>767</v>
      </c>
      <c r="D37" s="528">
        <v>40</v>
      </c>
      <c r="E37" s="529"/>
      <c r="F37" s="530"/>
      <c r="G37" s="531">
        <f t="shared" si="5"/>
        <v>40</v>
      </c>
      <c r="H37" s="529">
        <v>5.7</v>
      </c>
      <c r="I37" s="529"/>
      <c r="J37" s="529"/>
      <c r="K37" s="529"/>
      <c r="L37" s="532">
        <f t="shared" si="6"/>
        <v>5.7</v>
      </c>
      <c r="M37" s="471">
        <f t="shared" si="9"/>
        <v>1020.7034531513239</v>
      </c>
      <c r="N37" s="489">
        <f t="shared" si="10"/>
        <v>727</v>
      </c>
      <c r="O37" s="490">
        <f t="shared" si="11"/>
        <v>766.5</v>
      </c>
      <c r="P37" s="491">
        <f t="shared" si="12"/>
        <v>0.55353981438547772</v>
      </c>
      <c r="Q37" s="492">
        <f t="shared" si="7"/>
        <v>0.21864822668226369</v>
      </c>
      <c r="R37" s="493">
        <f>SUM(Q$13:Q37)</f>
        <v>3.4541622215297023</v>
      </c>
      <c r="S37" s="494">
        <f t="shared" si="8"/>
        <v>0.45064086386558411</v>
      </c>
      <c r="T37" s="505" t="s">
        <v>247</v>
      </c>
      <c r="U37" s="496"/>
      <c r="V37" s="497"/>
      <c r="W37" s="539"/>
      <c r="X37" s="536"/>
      <c r="Y37" s="536"/>
      <c r="Z37" s="536"/>
    </row>
    <row r="38" spans="1:26" x14ac:dyDescent="0.2">
      <c r="A38" s="499">
        <v>455</v>
      </c>
      <c r="B38" s="483">
        <v>0</v>
      </c>
      <c r="C38" s="471">
        <f>C39-D39</f>
        <v>800</v>
      </c>
      <c r="D38" s="528">
        <v>34</v>
      </c>
      <c r="E38" s="529"/>
      <c r="F38" s="530"/>
      <c r="G38" s="531">
        <f t="shared" si="5"/>
        <v>34</v>
      </c>
      <c r="H38" s="529">
        <v>5.7</v>
      </c>
      <c r="I38" s="529"/>
      <c r="J38" s="529"/>
      <c r="K38" s="529"/>
      <c r="L38" s="532">
        <f t="shared" si="6"/>
        <v>5.7</v>
      </c>
      <c r="M38" s="471">
        <f t="shared" ref="M38:M41" si="13">G38*    PI()* (L38/2)^2</f>
        <v>867.59793517862533</v>
      </c>
      <c r="N38" s="489">
        <f t="shared" ref="N38:N41" si="14">(C37+C38-G38)/2</f>
        <v>766.5</v>
      </c>
      <c r="O38" s="490">
        <f t="shared" ref="O38" si="15">(C38+C39-G39)/2</f>
        <v>800</v>
      </c>
      <c r="P38" s="491">
        <f t="shared" ref="P38:P41" si="16">(A38-B38)/M38</f>
        <v>0.52443647172387786</v>
      </c>
      <c r="Q38" s="492">
        <f t="shared" ref="Q38:Q41" si="17">(P38*(O38-N38))/100</f>
        <v>0.17568621802749909</v>
      </c>
      <c r="R38" s="493">
        <f>SUM(Q$13:Q38)</f>
        <v>3.6298484395572013</v>
      </c>
      <c r="S38" s="494">
        <f t="shared" ref="S38:S41" si="18">R38/O38*100</f>
        <v>0.45373105494465016</v>
      </c>
      <c r="T38" s="505"/>
      <c r="U38" s="496"/>
      <c r="V38" s="497"/>
      <c r="W38" s="540"/>
      <c r="X38" s="541"/>
    </row>
    <row r="39" spans="1:26" x14ac:dyDescent="0.2">
      <c r="A39" s="499">
        <v>660</v>
      </c>
      <c r="B39" s="483">
        <v>0</v>
      </c>
      <c r="C39" s="471">
        <v>846</v>
      </c>
      <c r="D39" s="528">
        <v>46</v>
      </c>
      <c r="E39" s="529"/>
      <c r="F39" s="530"/>
      <c r="G39" s="531">
        <f t="shared" si="5"/>
        <v>46</v>
      </c>
      <c r="H39" s="529">
        <v>5.7</v>
      </c>
      <c r="I39" s="529"/>
      <c r="J39" s="529"/>
      <c r="K39" s="529"/>
      <c r="L39" s="532">
        <f t="shared" ref="L39:L42" si="19">AVERAGE(H39:K39)</f>
        <v>5.7</v>
      </c>
      <c r="M39" s="471">
        <f t="shared" si="13"/>
        <v>1173.8089711240223</v>
      </c>
      <c r="N39" s="489">
        <f t="shared" si="14"/>
        <v>800</v>
      </c>
      <c r="O39" s="490">
        <f>(C39+C40-G40)/2</f>
        <v>845.5</v>
      </c>
      <c r="P39" s="491">
        <f t="shared" si="16"/>
        <v>0.56227207001833834</v>
      </c>
      <c r="Q39" s="492">
        <f t="shared" si="17"/>
        <v>0.25583379185834398</v>
      </c>
      <c r="R39" s="493">
        <f>SUM(Q$13:Q39)</f>
        <v>3.8856822314155455</v>
      </c>
      <c r="S39" s="494">
        <f t="shared" si="18"/>
        <v>0.45957211489243588</v>
      </c>
      <c r="T39" s="505"/>
      <c r="U39" s="496"/>
      <c r="V39" s="497"/>
      <c r="W39" s="541"/>
      <c r="X39" s="541"/>
    </row>
    <row r="40" spans="1:26" x14ac:dyDescent="0.2">
      <c r="A40" s="499">
        <v>655</v>
      </c>
      <c r="B40" s="483">
        <v>0</v>
      </c>
      <c r="C40" s="471">
        <f>C41-D41</f>
        <v>893</v>
      </c>
      <c r="D40" s="528">
        <v>48</v>
      </c>
      <c r="E40" s="529"/>
      <c r="F40" s="530"/>
      <c r="G40" s="531">
        <f t="shared" si="5"/>
        <v>48</v>
      </c>
      <c r="H40" s="529">
        <v>5.7</v>
      </c>
      <c r="I40" s="529"/>
      <c r="J40" s="529"/>
      <c r="K40" s="529"/>
      <c r="L40" s="532">
        <f t="shared" si="19"/>
        <v>5.7</v>
      </c>
      <c r="M40" s="471">
        <f t="shared" si="13"/>
        <v>1224.8441437815886</v>
      </c>
      <c r="N40" s="489">
        <f t="shared" si="14"/>
        <v>845.5</v>
      </c>
      <c r="O40" s="490">
        <f t="shared" ref="O40:O42" si="20">(C40+C41-G41)/2</f>
        <v>893</v>
      </c>
      <c r="P40" s="491">
        <f t="shared" si="16"/>
        <v>0.53476191507741588</v>
      </c>
      <c r="Q40" s="492">
        <f t="shared" si="17"/>
        <v>0.25401190966177256</v>
      </c>
      <c r="R40" s="493">
        <f>SUM(Q$13:Q40)</f>
        <v>4.1396941410773183</v>
      </c>
      <c r="S40" s="494">
        <f t="shared" si="18"/>
        <v>0.4635715723490838</v>
      </c>
      <c r="T40" s="505"/>
      <c r="U40" s="496"/>
      <c r="V40" s="497"/>
    </row>
    <row r="41" spans="1:26" x14ac:dyDescent="0.2">
      <c r="A41" s="499">
        <v>455</v>
      </c>
      <c r="B41" s="483">
        <v>0</v>
      </c>
      <c r="C41" s="471">
        <v>922</v>
      </c>
      <c r="D41" s="528">
        <v>29</v>
      </c>
      <c r="E41" s="529"/>
      <c r="F41" s="530"/>
      <c r="G41" s="531">
        <f t="shared" si="5"/>
        <v>29</v>
      </c>
      <c r="H41" s="529">
        <v>5.7</v>
      </c>
      <c r="I41" s="529"/>
      <c r="J41" s="529"/>
      <c r="K41" s="529"/>
      <c r="L41" s="532">
        <f t="shared" si="19"/>
        <v>5.7</v>
      </c>
      <c r="M41" s="471">
        <f t="shared" si="13"/>
        <v>740.01000353470977</v>
      </c>
      <c r="N41" s="489">
        <f t="shared" si="14"/>
        <v>893</v>
      </c>
      <c r="O41" s="490">
        <f t="shared" si="20"/>
        <v>920.25</v>
      </c>
      <c r="P41" s="491">
        <f t="shared" si="16"/>
        <v>0.61485655305558107</v>
      </c>
      <c r="Q41" s="492">
        <f t="shared" si="17"/>
        <v>0.16754841070764584</v>
      </c>
      <c r="R41" s="493">
        <f>SUM(Q$13:Q41)</f>
        <v>4.307242551784964</v>
      </c>
      <c r="S41" s="494">
        <f t="shared" si="18"/>
        <v>0.46805135037054757</v>
      </c>
      <c r="T41" s="505"/>
      <c r="U41" s="496"/>
      <c r="V41" s="497"/>
    </row>
    <row r="42" spans="1:26" x14ac:dyDescent="0.2">
      <c r="A42" s="499">
        <v>650</v>
      </c>
      <c r="B42" s="483">
        <v>0</v>
      </c>
      <c r="C42" s="471">
        <f>C43-D43</f>
        <v>960.5</v>
      </c>
      <c r="D42" s="528">
        <v>42</v>
      </c>
      <c r="E42" s="529"/>
      <c r="F42" s="530"/>
      <c r="G42" s="531">
        <f t="shared" si="5"/>
        <v>42</v>
      </c>
      <c r="H42" s="529">
        <v>5.7</v>
      </c>
      <c r="I42" s="529"/>
      <c r="J42" s="529"/>
      <c r="K42" s="529"/>
      <c r="L42" s="532">
        <f t="shared" si="19"/>
        <v>5.7</v>
      </c>
      <c r="M42" s="471">
        <f t="shared" ref="M42:M43" si="21">G42*    PI()* (L42/2)^2</f>
        <v>1071.73862580889</v>
      </c>
      <c r="N42" s="489">
        <f t="shared" ref="N42:N43" si="22">(C41+C42-G42)/2</f>
        <v>920.25</v>
      </c>
      <c r="O42" s="490">
        <f t="shared" si="20"/>
        <v>960.5</v>
      </c>
      <c r="P42" s="491">
        <f t="shared" ref="P42:P43" si="23">(A42-B42)/M42</f>
        <v>0.60649115777591334</v>
      </c>
      <c r="Q42" s="492">
        <f t="shared" ref="Q42:Q43" si="24">(P42*(O42-N42))/100</f>
        <v>0.24411269100480509</v>
      </c>
      <c r="R42" s="493">
        <f>SUM(Q$13:Q42)</f>
        <v>4.5513552427897688</v>
      </c>
      <c r="S42" s="494">
        <f t="shared" ref="S42:S43" si="25">R42/O42*100</f>
        <v>0.47385270617280256</v>
      </c>
      <c r="T42" s="505"/>
      <c r="U42" s="496"/>
      <c r="V42" s="497"/>
    </row>
    <row r="43" spans="1:26" x14ac:dyDescent="0.2">
      <c r="A43" s="499">
        <v>575</v>
      </c>
      <c r="B43" s="483">
        <v>0</v>
      </c>
      <c r="C43" s="471">
        <v>997</v>
      </c>
      <c r="D43" s="528">
        <v>36.5</v>
      </c>
      <c r="E43" s="529"/>
      <c r="F43" s="530"/>
      <c r="G43" s="531">
        <f t="shared" si="5"/>
        <v>36.5</v>
      </c>
      <c r="H43" s="529">
        <v>5.7</v>
      </c>
      <c r="I43" s="529"/>
      <c r="J43" s="529"/>
      <c r="K43" s="529"/>
      <c r="L43" s="532">
        <f t="shared" ref="L43" si="26">AVERAGE(H43:K43)</f>
        <v>5.7</v>
      </c>
      <c r="M43" s="471">
        <f t="shared" si="21"/>
        <v>931.39190100058295</v>
      </c>
      <c r="N43" s="489">
        <f t="shared" si="22"/>
        <v>960.5</v>
      </c>
      <c r="O43" s="490">
        <f>C43</f>
        <v>997</v>
      </c>
      <c r="P43" s="491">
        <f t="shared" si="23"/>
        <v>0.61735559368970738</v>
      </c>
      <c r="Q43" s="492">
        <f t="shared" si="24"/>
        <v>0.2253347916967432</v>
      </c>
      <c r="R43" s="493">
        <f>SUM(Q$13:Q43)</f>
        <v>4.7766900344865117</v>
      </c>
      <c r="S43" s="494">
        <f t="shared" si="25"/>
        <v>0.4791063224158989</v>
      </c>
      <c r="T43" s="505"/>
      <c r="U43" s="496"/>
      <c r="V43" s="497"/>
    </row>
    <row r="44" spans="1:26" x14ac:dyDescent="0.2">
      <c r="A44" s="499"/>
      <c r="B44" s="483"/>
      <c r="C44" s="471"/>
      <c r="D44" s="528"/>
      <c r="E44" s="529"/>
      <c r="F44" s="530"/>
      <c r="G44" s="531"/>
      <c r="H44" s="529"/>
      <c r="I44" s="529"/>
      <c r="J44" s="529"/>
      <c r="K44" s="529"/>
      <c r="L44" s="532"/>
      <c r="M44" s="471"/>
      <c r="N44" s="489"/>
      <c r="O44" s="490"/>
      <c r="P44" s="491"/>
      <c r="Q44" s="492"/>
      <c r="R44" s="493"/>
      <c r="S44" s="494"/>
      <c r="T44" s="505"/>
      <c r="U44" s="496"/>
      <c r="V44" s="497"/>
    </row>
    <row r="45" spans="1:26" x14ac:dyDescent="0.2">
      <c r="A45" s="499"/>
      <c r="B45" s="483"/>
      <c r="C45" s="471"/>
      <c r="D45" s="528"/>
      <c r="E45" s="529"/>
      <c r="F45" s="530"/>
      <c r="G45" s="531"/>
      <c r="H45" s="529"/>
      <c r="I45" s="529"/>
      <c r="J45" s="529"/>
      <c r="K45" s="529"/>
      <c r="L45" s="532"/>
      <c r="M45" s="471"/>
      <c r="N45" s="489"/>
      <c r="O45" s="490"/>
      <c r="P45" s="491"/>
      <c r="Q45" s="492"/>
      <c r="R45" s="493"/>
      <c r="S45" s="494"/>
      <c r="T45" s="505"/>
      <c r="U45" s="496"/>
      <c r="V45" s="497"/>
    </row>
    <row r="46" spans="1:26" x14ac:dyDescent="0.2">
      <c r="A46" s="499"/>
      <c r="B46" s="483"/>
      <c r="C46" s="471"/>
      <c r="D46" s="528"/>
      <c r="E46" s="529"/>
      <c r="F46" s="530"/>
      <c r="G46" s="531"/>
      <c r="H46" s="529"/>
      <c r="I46" s="529"/>
      <c r="J46" s="529"/>
      <c r="K46" s="529"/>
      <c r="L46" s="532"/>
      <c r="M46" s="471"/>
      <c r="N46" s="489"/>
      <c r="O46" s="490"/>
      <c r="P46" s="491"/>
      <c r="Q46" s="492"/>
      <c r="R46" s="493"/>
      <c r="S46" s="494"/>
      <c r="T46" s="505"/>
      <c r="U46" s="496"/>
      <c r="V46" s="497"/>
    </row>
    <row r="47" spans="1:26" x14ac:dyDescent="0.2">
      <c r="A47" s="499"/>
      <c r="B47" s="483"/>
      <c r="C47" s="471"/>
      <c r="D47" s="528"/>
      <c r="E47" s="529"/>
      <c r="F47" s="530"/>
      <c r="G47" s="531"/>
      <c r="H47" s="529"/>
      <c r="I47" s="529"/>
      <c r="J47" s="529"/>
      <c r="K47" s="529"/>
      <c r="L47" s="532"/>
      <c r="M47" s="471"/>
      <c r="N47" s="489"/>
      <c r="O47" s="490"/>
      <c r="P47" s="491"/>
      <c r="Q47" s="492"/>
      <c r="R47" s="493"/>
      <c r="S47" s="494"/>
      <c r="T47" s="505"/>
      <c r="U47" s="496"/>
      <c r="V47" s="497"/>
    </row>
    <row r="48" spans="1:26" x14ac:dyDescent="0.2">
      <c r="A48" s="499"/>
      <c r="B48" s="483"/>
      <c r="C48" s="471"/>
      <c r="D48" s="528"/>
      <c r="E48" s="529"/>
      <c r="F48" s="530"/>
      <c r="G48" s="531"/>
      <c r="H48" s="529"/>
      <c r="I48" s="529"/>
      <c r="J48" s="529"/>
      <c r="K48" s="529"/>
      <c r="L48" s="532"/>
      <c r="M48" s="471"/>
      <c r="N48" s="489"/>
      <c r="O48" s="490"/>
      <c r="P48" s="491"/>
      <c r="Q48" s="492"/>
      <c r="R48" s="493"/>
      <c r="S48" s="494"/>
      <c r="T48" s="505"/>
      <c r="U48" s="496"/>
      <c r="V48" s="497"/>
    </row>
    <row r="49" spans="1:26" x14ac:dyDescent="0.2">
      <c r="A49" s="499"/>
      <c r="B49" s="483"/>
      <c r="C49" s="471"/>
      <c r="D49" s="528"/>
      <c r="E49" s="529"/>
      <c r="F49" s="530"/>
      <c r="G49" s="531"/>
      <c r="H49" s="529"/>
      <c r="I49" s="529"/>
      <c r="J49" s="529"/>
      <c r="K49" s="529"/>
      <c r="L49" s="532"/>
      <c r="M49" s="471"/>
      <c r="N49" s="489"/>
      <c r="O49" s="490"/>
      <c r="P49" s="491"/>
      <c r="Q49" s="492"/>
      <c r="R49" s="493"/>
      <c r="S49" s="494"/>
      <c r="T49" s="505"/>
      <c r="U49" s="496"/>
      <c r="V49" s="497"/>
    </row>
    <row r="50" spans="1:26" x14ac:dyDescent="0.2">
      <c r="A50" s="499"/>
      <c r="B50" s="483"/>
      <c r="C50" s="471"/>
      <c r="D50" s="528"/>
      <c r="E50" s="529"/>
      <c r="F50" s="530"/>
      <c r="G50" s="531"/>
      <c r="H50" s="529"/>
      <c r="I50" s="529"/>
      <c r="J50" s="529"/>
      <c r="K50" s="529"/>
      <c r="L50" s="532"/>
      <c r="M50" s="471"/>
      <c r="N50" s="489"/>
      <c r="O50" s="490"/>
      <c r="P50" s="491"/>
      <c r="Q50" s="492"/>
      <c r="R50" s="493"/>
      <c r="S50" s="494"/>
      <c r="T50" s="505"/>
      <c r="U50" s="496"/>
      <c r="V50" s="497"/>
    </row>
    <row r="51" spans="1:26" x14ac:dyDescent="0.2">
      <c r="A51" s="499"/>
      <c r="B51" s="483"/>
      <c r="C51" s="471"/>
      <c r="D51" s="528"/>
      <c r="E51" s="529"/>
      <c r="F51" s="530"/>
      <c r="G51" s="531"/>
      <c r="H51" s="529"/>
      <c r="I51" s="529"/>
      <c r="J51" s="529"/>
      <c r="K51" s="529"/>
      <c r="L51" s="532"/>
      <c r="M51" s="471"/>
      <c r="N51" s="489"/>
      <c r="O51" s="490"/>
      <c r="P51" s="491"/>
      <c r="Q51" s="492"/>
      <c r="R51" s="493"/>
      <c r="S51" s="494"/>
      <c r="T51" s="505"/>
      <c r="U51" s="496"/>
      <c r="V51" s="497"/>
    </row>
    <row r="52" spans="1:26" ht="10.8" thickBot="1" x14ac:dyDescent="0.25">
      <c r="A52" s="499"/>
      <c r="B52" s="483"/>
      <c r="C52" s="471"/>
      <c r="D52" s="528"/>
      <c r="E52" s="529"/>
      <c r="F52" s="530"/>
      <c r="G52" s="531"/>
      <c r="H52" s="529"/>
      <c r="I52" s="529"/>
      <c r="J52" s="529"/>
      <c r="K52" s="529"/>
      <c r="L52" s="532"/>
      <c r="M52" s="471"/>
      <c r="N52" s="489"/>
      <c r="O52" s="490"/>
      <c r="P52" s="491"/>
      <c r="Q52" s="492"/>
      <c r="R52" s="493"/>
      <c r="S52" s="494"/>
      <c r="T52" s="505"/>
      <c r="U52" s="496"/>
      <c r="V52" s="542"/>
    </row>
    <row r="53" spans="1:26" x14ac:dyDescent="0.2">
      <c r="A53" s="499"/>
      <c r="B53" s="483"/>
      <c r="C53" s="471"/>
      <c r="D53" s="528"/>
      <c r="E53" s="529"/>
      <c r="F53" s="530"/>
      <c r="G53" s="531"/>
      <c r="H53" s="529"/>
      <c r="I53" s="529"/>
      <c r="J53" s="529"/>
      <c r="K53" s="529"/>
      <c r="L53" s="532"/>
      <c r="M53" s="471"/>
      <c r="N53" s="489"/>
      <c r="O53" s="490"/>
      <c r="P53" s="491"/>
      <c r="Q53" s="492"/>
      <c r="R53" s="493"/>
      <c r="S53" s="494"/>
      <c r="T53" s="505"/>
      <c r="U53" s="543" t="s">
        <v>153</v>
      </c>
      <c r="V53" s="544">
        <f>AVERAGE(V12:V52)</f>
        <v>800</v>
      </c>
    </row>
    <row r="54" spans="1:26" x14ac:dyDescent="0.2">
      <c r="A54" s="499"/>
      <c r="B54" s="483"/>
      <c r="C54" s="471"/>
      <c r="D54" s="528"/>
      <c r="E54" s="529"/>
      <c r="F54" s="530"/>
      <c r="G54" s="531"/>
      <c r="H54" s="529"/>
      <c r="I54" s="529"/>
      <c r="J54" s="529"/>
      <c r="K54" s="529"/>
      <c r="L54" s="532"/>
      <c r="M54" s="471"/>
      <c r="N54" s="489"/>
      <c r="O54" s="490"/>
      <c r="P54" s="491"/>
      <c r="Q54" s="492"/>
      <c r="R54" s="493"/>
      <c r="S54" s="494"/>
      <c r="T54" s="505"/>
      <c r="U54" s="370" t="s">
        <v>154</v>
      </c>
      <c r="V54" s="542" t="e">
        <f>STDEV(V12:V52)</f>
        <v>#DIV/0!</v>
      </c>
      <c r="W54" s="545"/>
      <c r="X54" s="545"/>
    </row>
    <row r="55" spans="1:26" x14ac:dyDescent="0.2">
      <c r="A55" s="546" t="s">
        <v>155</v>
      </c>
      <c r="B55" s="547"/>
      <c r="C55" s="548"/>
      <c r="D55" s="548"/>
      <c r="E55" s="548"/>
      <c r="F55" s="548"/>
      <c r="G55" s="549"/>
      <c r="H55" s="548"/>
      <c r="I55" s="548"/>
      <c r="J55" s="548"/>
      <c r="K55" s="548"/>
      <c r="L55" s="550"/>
      <c r="M55" s="548"/>
      <c r="N55" s="551"/>
      <c r="O55" s="552"/>
      <c r="P55" s="553"/>
      <c r="Q55" s="554"/>
      <c r="R55" s="555"/>
      <c r="S55" s="556"/>
      <c r="T55" s="557"/>
      <c r="U55" s="370" t="s">
        <v>156</v>
      </c>
      <c r="V55" s="542" t="e">
        <f>V54/SQRT(COUNT(V12:V51))</f>
        <v>#DIV/0!</v>
      </c>
      <c r="W55" s="540"/>
      <c r="X55" s="545"/>
      <c r="Y55" s="545"/>
      <c r="Z55" s="545"/>
    </row>
    <row r="56" spans="1:26" x14ac:dyDescent="0.2">
      <c r="A56" s="558"/>
      <c r="B56" s="559"/>
      <c r="C56" s="560"/>
      <c r="D56" s="560"/>
      <c r="E56" s="560"/>
      <c r="F56" s="560"/>
      <c r="G56" s="561"/>
      <c r="H56" s="560"/>
      <c r="I56" s="560"/>
      <c r="J56" s="560"/>
      <c r="K56" s="560"/>
      <c r="L56" s="562"/>
      <c r="M56" s="560"/>
      <c r="N56" s="563"/>
      <c r="O56" s="564"/>
      <c r="P56" s="565"/>
      <c r="Q56" s="566"/>
      <c r="R56" s="567"/>
      <c r="S56" s="568"/>
      <c r="T56" s="569"/>
      <c r="U56" s="370" t="s">
        <v>157</v>
      </c>
      <c r="V56" s="542">
        <f>MAX(V12:V52)</f>
        <v>800</v>
      </c>
      <c r="W56" s="540"/>
    </row>
    <row r="57" spans="1:26" ht="10.8" thickBot="1" x14ac:dyDescent="0.25">
      <c r="A57" s="570"/>
      <c r="B57" s="571"/>
      <c r="C57" s="572"/>
      <c r="D57" s="572"/>
      <c r="E57" s="572"/>
      <c r="F57" s="572"/>
      <c r="G57" s="573"/>
      <c r="H57" s="572"/>
      <c r="I57" s="572"/>
      <c r="J57" s="572"/>
      <c r="K57" s="572"/>
      <c r="L57" s="574"/>
      <c r="M57" s="572"/>
      <c r="N57" s="575"/>
      <c r="O57" s="576"/>
      <c r="P57" s="577"/>
      <c r="Q57" s="578"/>
      <c r="R57" s="579"/>
      <c r="S57" s="580"/>
      <c r="T57" s="581"/>
      <c r="U57" s="582" t="s">
        <v>158</v>
      </c>
      <c r="V57" s="583">
        <f>MIN(V12:V52)</f>
        <v>800</v>
      </c>
      <c r="W57" s="545"/>
    </row>
    <row r="58" spans="1:26" x14ac:dyDescent="0.2">
      <c r="A58" s="584"/>
      <c r="B58" s="584"/>
      <c r="C58" s="585"/>
      <c r="D58" s="586"/>
      <c r="E58" s="586"/>
      <c r="F58" s="586"/>
      <c r="G58" s="587"/>
      <c r="H58" s="588"/>
      <c r="I58" s="589"/>
      <c r="J58" s="590"/>
      <c r="K58" s="591"/>
      <c r="L58" s="592"/>
      <c r="M58" s="545"/>
      <c r="O58" s="533"/>
      <c r="P58" s="593"/>
    </row>
    <row r="59" spans="1:26" x14ac:dyDescent="0.2">
      <c r="A59" s="545"/>
      <c r="B59" s="545"/>
      <c r="C59" s="594"/>
      <c r="D59" s="594"/>
      <c r="E59" s="594"/>
      <c r="F59" s="594"/>
      <c r="G59" s="589"/>
      <c r="H59" s="588"/>
      <c r="I59" s="589"/>
      <c r="J59" s="590"/>
      <c r="K59" s="595"/>
      <c r="L59" s="592"/>
      <c r="M59" s="545"/>
      <c r="O59" s="533"/>
      <c r="P59" s="593"/>
    </row>
    <row r="60" spans="1:26" x14ac:dyDescent="0.2">
      <c r="A60" s="596"/>
      <c r="B60" s="596"/>
      <c r="C60" s="596"/>
      <c r="D60" s="596"/>
      <c r="E60" s="590"/>
      <c r="F60" s="597"/>
      <c r="G60" s="545"/>
      <c r="H60" s="533"/>
      <c r="I60" s="545"/>
      <c r="J60" s="533"/>
      <c r="K60" s="533"/>
      <c r="L60" s="545"/>
      <c r="M60" s="545"/>
      <c r="O60" s="533"/>
      <c r="P60" s="593"/>
    </row>
    <row r="61" spans="1:26" x14ac:dyDescent="0.2">
      <c r="A61" s="598"/>
      <c r="B61" s="598"/>
      <c r="C61" s="596"/>
      <c r="D61" s="596"/>
      <c r="E61" s="590"/>
      <c r="F61" s="597"/>
      <c r="G61" s="533"/>
      <c r="H61" s="533"/>
      <c r="I61" s="545"/>
      <c r="J61" s="533"/>
      <c r="K61" s="533"/>
      <c r="L61" s="545"/>
      <c r="M61" s="545"/>
      <c r="O61" s="533"/>
      <c r="P61" s="593"/>
    </row>
    <row r="62" spans="1:26" x14ac:dyDescent="0.2">
      <c r="A62" s="442"/>
      <c r="B62" s="442"/>
      <c r="C62" s="596"/>
      <c r="D62" s="596"/>
      <c r="E62" s="590"/>
      <c r="F62" s="597"/>
      <c r="G62" s="533"/>
      <c r="H62" s="533"/>
      <c r="I62" s="545"/>
      <c r="J62" s="533"/>
      <c r="K62" s="533"/>
      <c r="L62" s="545"/>
      <c r="M62" s="545"/>
      <c r="O62" s="533"/>
      <c r="P62" s="593"/>
    </row>
    <row r="63" spans="1:26" x14ac:dyDescent="0.2">
      <c r="A63" s="596"/>
      <c r="B63" s="596"/>
      <c r="C63" s="596"/>
      <c r="D63" s="596"/>
      <c r="E63" s="590"/>
      <c r="F63" s="597"/>
      <c r="G63" s="533"/>
      <c r="H63" s="533"/>
      <c r="I63" s="545"/>
      <c r="J63" s="533"/>
      <c r="K63" s="533"/>
      <c r="L63" s="545"/>
      <c r="M63" s="545"/>
      <c r="O63" s="533"/>
      <c r="P63" s="593"/>
    </row>
    <row r="64" spans="1:26" x14ac:dyDescent="0.2">
      <c r="A64" s="596"/>
      <c r="B64" s="596"/>
      <c r="C64" s="596"/>
      <c r="D64" s="596"/>
      <c r="E64" s="590"/>
      <c r="F64" s="597"/>
      <c r="G64" s="533"/>
      <c r="H64" s="533"/>
      <c r="I64" s="545"/>
      <c r="J64" s="589"/>
      <c r="K64" s="533"/>
      <c r="L64" s="545"/>
      <c r="M64" s="545"/>
      <c r="O64" s="533"/>
      <c r="P64" s="593"/>
    </row>
    <row r="65" spans="1:16" x14ac:dyDescent="0.2">
      <c r="A65" s="596"/>
      <c r="B65" s="596"/>
      <c r="C65" s="596"/>
      <c r="D65" s="596"/>
      <c r="E65" s="590"/>
      <c r="F65" s="597"/>
      <c r="G65" s="533"/>
      <c r="H65" s="533"/>
      <c r="I65" s="545"/>
      <c r="J65" s="589"/>
      <c r="K65" s="533"/>
      <c r="L65" s="545"/>
      <c r="M65" s="545"/>
      <c r="O65" s="533"/>
      <c r="P65" s="593"/>
    </row>
    <row r="66" spans="1:16" x14ac:dyDescent="0.2">
      <c r="A66" s="596"/>
      <c r="B66" s="596"/>
      <c r="C66" s="596"/>
      <c r="D66" s="596"/>
      <c r="E66" s="590"/>
      <c r="F66" s="597"/>
      <c r="G66" s="533"/>
      <c r="H66" s="533"/>
      <c r="I66" s="545"/>
      <c r="J66" s="533"/>
      <c r="K66" s="533"/>
      <c r="L66" s="545"/>
      <c r="M66" s="545"/>
      <c r="O66" s="533"/>
      <c r="P66" s="593"/>
    </row>
    <row r="67" spans="1:16" x14ac:dyDescent="0.2">
      <c r="A67" s="596"/>
      <c r="B67" s="596"/>
      <c r="C67" s="596"/>
      <c r="D67" s="596"/>
      <c r="E67" s="590"/>
      <c r="F67" s="597"/>
      <c r="G67" s="533"/>
      <c r="H67" s="533"/>
      <c r="I67" s="545"/>
      <c r="J67" s="533"/>
      <c r="K67" s="533"/>
      <c r="L67" s="545"/>
      <c r="M67" s="545"/>
      <c r="O67" s="533"/>
      <c r="P67" s="593"/>
    </row>
    <row r="68" spans="1:16" x14ac:dyDescent="0.2">
      <c r="A68" s="596"/>
      <c r="B68" s="596"/>
      <c r="C68" s="596"/>
      <c r="D68" s="596"/>
      <c r="E68" s="590"/>
      <c r="F68" s="597"/>
      <c r="G68" s="533"/>
      <c r="H68" s="533"/>
      <c r="I68" s="545"/>
      <c r="J68" s="533"/>
      <c r="K68" s="533"/>
      <c r="L68" s="545"/>
      <c r="M68" s="545"/>
      <c r="O68" s="533"/>
      <c r="P68" s="593"/>
    </row>
    <row r="69" spans="1:16" x14ac:dyDescent="0.2">
      <c r="A69" s="596"/>
      <c r="B69" s="596"/>
      <c r="C69" s="596"/>
      <c r="D69" s="596"/>
      <c r="E69" s="590"/>
      <c r="F69" s="597"/>
      <c r="G69" s="533"/>
      <c r="H69" s="533"/>
      <c r="I69" s="545"/>
      <c r="J69" s="533"/>
      <c r="K69" s="533"/>
      <c r="L69" s="545"/>
      <c r="M69" s="545"/>
      <c r="O69" s="533"/>
      <c r="P69" s="593"/>
    </row>
    <row r="70" spans="1:16" x14ac:dyDescent="0.2">
      <c r="A70" s="596"/>
      <c r="B70" s="596"/>
      <c r="C70" s="596"/>
      <c r="D70" s="596"/>
      <c r="E70" s="590"/>
      <c r="F70" s="597"/>
      <c r="G70" s="533"/>
      <c r="H70" s="533"/>
      <c r="I70" s="545"/>
      <c r="J70" s="533"/>
      <c r="K70" s="533"/>
      <c r="L70" s="545"/>
      <c r="M70" s="545"/>
      <c r="O70" s="533"/>
      <c r="P70" s="593"/>
    </row>
    <row r="71" spans="1:16" x14ac:dyDescent="0.2">
      <c r="A71" s="596"/>
      <c r="B71" s="596"/>
      <c r="C71" s="596"/>
      <c r="D71" s="596"/>
      <c r="E71" s="590"/>
      <c r="F71" s="597"/>
      <c r="G71" s="533"/>
      <c r="H71" s="533"/>
      <c r="I71" s="545"/>
      <c r="J71" s="533"/>
      <c r="K71" s="533"/>
      <c r="L71" s="545"/>
      <c r="O71" s="533"/>
      <c r="P71" s="593"/>
    </row>
    <row r="72" spans="1:16" x14ac:dyDescent="0.2">
      <c r="A72" s="596"/>
      <c r="B72" s="596"/>
      <c r="C72" s="596"/>
      <c r="D72" s="596"/>
      <c r="E72" s="590"/>
      <c r="F72" s="597"/>
      <c r="G72" s="533"/>
      <c r="H72" s="533"/>
      <c r="I72" s="545"/>
      <c r="J72" s="533"/>
      <c r="K72" s="533"/>
      <c r="L72" s="545"/>
      <c r="O72" s="533"/>
      <c r="P72" s="593"/>
    </row>
    <row r="73" spans="1:16" x14ac:dyDescent="0.2">
      <c r="A73" s="596"/>
      <c r="B73" s="596"/>
      <c r="C73" s="596"/>
      <c r="D73" s="596"/>
      <c r="E73" s="590"/>
      <c r="F73" s="597"/>
      <c r="G73" s="533"/>
      <c r="H73" s="533"/>
      <c r="I73" s="545"/>
      <c r="J73" s="533"/>
      <c r="K73" s="533"/>
      <c r="L73" s="533"/>
      <c r="O73" s="533"/>
      <c r="P73" s="593"/>
    </row>
    <row r="74" spans="1:16" x14ac:dyDescent="0.2">
      <c r="A74" s="596"/>
      <c r="B74" s="596"/>
      <c r="C74" s="596"/>
      <c r="D74" s="596"/>
      <c r="E74" s="590"/>
      <c r="F74" s="597"/>
      <c r="G74" s="533"/>
      <c r="H74" s="533"/>
      <c r="I74" s="545"/>
      <c r="J74" s="533"/>
      <c r="K74" s="533"/>
      <c r="L74" s="533"/>
      <c r="O74" s="533"/>
      <c r="P74" s="593"/>
    </row>
    <row r="75" spans="1:16" x14ac:dyDescent="0.2">
      <c r="A75" s="596"/>
      <c r="B75" s="596"/>
      <c r="C75" s="596"/>
      <c r="D75" s="596"/>
      <c r="E75" s="590"/>
      <c r="F75" s="597"/>
      <c r="G75" s="533"/>
      <c r="H75" s="533"/>
      <c r="I75" s="545"/>
      <c r="J75" s="533"/>
      <c r="K75" s="533"/>
      <c r="L75" s="533"/>
      <c r="O75" s="533"/>
      <c r="P75" s="593"/>
    </row>
    <row r="76" spans="1:16" x14ac:dyDescent="0.2">
      <c r="A76" s="596"/>
      <c r="B76" s="596"/>
      <c r="C76" s="596"/>
      <c r="D76" s="596"/>
      <c r="E76" s="590"/>
      <c r="F76" s="597"/>
      <c r="G76" s="533"/>
      <c r="H76" s="533"/>
      <c r="I76" s="545"/>
      <c r="J76" s="533"/>
      <c r="K76" s="533"/>
      <c r="L76" s="533"/>
      <c r="O76" s="533"/>
      <c r="P76" s="593"/>
    </row>
    <row r="77" spans="1:16" x14ac:dyDescent="0.2">
      <c r="A77" s="596"/>
      <c r="B77" s="596"/>
      <c r="C77" s="596"/>
      <c r="D77" s="596"/>
      <c r="E77" s="590"/>
      <c r="F77" s="597"/>
      <c r="G77" s="533"/>
      <c r="H77" s="533"/>
      <c r="I77" s="545"/>
      <c r="J77" s="533"/>
      <c r="K77" s="533"/>
      <c r="L77" s="533"/>
      <c r="O77" s="533"/>
      <c r="P77" s="593"/>
    </row>
    <row r="78" spans="1:16" x14ac:dyDescent="0.2">
      <c r="A78" s="596"/>
      <c r="B78" s="596"/>
      <c r="C78" s="596"/>
      <c r="D78" s="596"/>
      <c r="E78" s="590"/>
      <c r="F78" s="597"/>
      <c r="G78" s="533"/>
      <c r="H78" s="533"/>
      <c r="I78" s="545"/>
      <c r="J78" s="533"/>
      <c r="K78" s="533"/>
      <c r="L78" s="533"/>
      <c r="O78" s="533"/>
      <c r="P78" s="593"/>
    </row>
    <row r="79" spans="1:16" x14ac:dyDescent="0.2">
      <c r="A79" s="596"/>
      <c r="B79" s="596"/>
      <c r="C79" s="596"/>
      <c r="D79" s="596"/>
      <c r="E79" s="590"/>
      <c r="F79" s="597"/>
      <c r="G79" s="533"/>
      <c r="H79" s="533"/>
      <c r="I79" s="545"/>
      <c r="J79" s="533"/>
      <c r="K79" s="533"/>
      <c r="L79" s="533"/>
      <c r="O79" s="533"/>
      <c r="P79" s="593"/>
    </row>
    <row r="80" spans="1:16" x14ac:dyDescent="0.2">
      <c r="A80" s="596"/>
      <c r="B80" s="596"/>
      <c r="C80" s="596"/>
      <c r="D80" s="596"/>
      <c r="E80" s="590"/>
      <c r="F80" s="597"/>
      <c r="G80" s="533"/>
      <c r="H80" s="533"/>
      <c r="I80" s="545"/>
      <c r="J80" s="533"/>
      <c r="K80" s="533"/>
      <c r="L80" s="533"/>
      <c r="O80" s="533"/>
      <c r="P80" s="593"/>
    </row>
    <row r="81" spans="1:19" x14ac:dyDescent="0.2">
      <c r="A81" s="596"/>
      <c r="B81" s="596"/>
      <c r="C81" s="596"/>
      <c r="D81" s="596"/>
      <c r="E81" s="590"/>
      <c r="F81" s="597"/>
      <c r="G81" s="533"/>
      <c r="H81" s="533"/>
      <c r="I81" s="545"/>
      <c r="J81" s="533"/>
      <c r="K81" s="533"/>
      <c r="L81" s="533"/>
      <c r="O81" s="533"/>
      <c r="P81" s="593"/>
    </row>
    <row r="82" spans="1:19" x14ac:dyDescent="0.2">
      <c r="A82" s="596"/>
      <c r="B82" s="596"/>
      <c r="C82" s="596"/>
      <c r="D82" s="596"/>
      <c r="E82" s="590"/>
      <c r="F82" s="597"/>
      <c r="G82" s="533"/>
      <c r="H82" s="533"/>
      <c r="I82" s="545"/>
      <c r="J82" s="533"/>
      <c r="K82" s="533"/>
      <c r="L82" s="533"/>
      <c r="O82" s="533"/>
      <c r="P82" s="593"/>
    </row>
    <row r="83" spans="1:19" x14ac:dyDescent="0.2">
      <c r="A83" s="596"/>
      <c r="B83" s="596"/>
      <c r="C83" s="596"/>
      <c r="D83" s="596"/>
      <c r="E83" s="590"/>
      <c r="F83" s="597"/>
      <c r="G83" s="533"/>
      <c r="H83" s="533"/>
      <c r="I83" s="545"/>
      <c r="J83" s="533"/>
      <c r="K83" s="533"/>
      <c r="L83" s="533"/>
      <c r="O83" s="533"/>
      <c r="P83" s="593"/>
    </row>
    <row r="84" spans="1:19" x14ac:dyDescent="0.2">
      <c r="A84" s="596"/>
      <c r="B84" s="596"/>
      <c r="C84" s="596"/>
      <c r="D84" s="596"/>
      <c r="E84" s="590"/>
      <c r="F84" s="597"/>
      <c r="G84" s="593"/>
      <c r="H84" s="533"/>
      <c r="I84" s="545"/>
      <c r="J84" s="533"/>
      <c r="K84" s="533"/>
      <c r="L84" s="533"/>
      <c r="O84" s="533"/>
      <c r="P84" s="593"/>
    </row>
    <row r="85" spans="1:19" x14ac:dyDescent="0.2">
      <c r="A85" s="596"/>
      <c r="B85" s="596"/>
      <c r="C85" s="596"/>
      <c r="D85" s="596"/>
      <c r="E85" s="590"/>
      <c r="F85" s="597"/>
      <c r="G85" s="593"/>
      <c r="H85" s="533"/>
      <c r="I85" s="545"/>
      <c r="J85" s="533"/>
      <c r="K85" s="533"/>
      <c r="L85" s="533"/>
      <c r="O85" s="533"/>
      <c r="P85" s="593"/>
    </row>
    <row r="86" spans="1:19" x14ac:dyDescent="0.2">
      <c r="A86" s="596"/>
      <c r="B86" s="596"/>
      <c r="C86" s="596"/>
      <c r="D86" s="596"/>
      <c r="E86" s="590"/>
      <c r="F86" s="597"/>
      <c r="G86" s="593"/>
      <c r="H86" s="533"/>
      <c r="I86" s="545"/>
      <c r="J86" s="533"/>
      <c r="K86" s="533"/>
      <c r="L86" s="533"/>
      <c r="O86" s="533"/>
      <c r="P86" s="593"/>
    </row>
    <row r="87" spans="1:19" x14ac:dyDescent="0.2">
      <c r="A87" s="596"/>
      <c r="B87" s="596"/>
      <c r="C87" s="596"/>
      <c r="D87" s="596"/>
      <c r="E87" s="590"/>
      <c r="F87" s="597"/>
      <c r="G87" s="593"/>
      <c r="H87" s="533"/>
      <c r="I87" s="545"/>
      <c r="J87" s="533"/>
      <c r="K87" s="533"/>
      <c r="L87" s="533"/>
      <c r="O87" s="533"/>
      <c r="P87" s="593"/>
    </row>
    <row r="88" spans="1:19" x14ac:dyDescent="0.2">
      <c r="A88" s="596"/>
      <c r="B88" s="596"/>
      <c r="C88" s="596"/>
      <c r="D88" s="596"/>
      <c r="E88" s="590"/>
      <c r="F88" s="597"/>
      <c r="G88" s="533"/>
      <c r="H88" s="533"/>
      <c r="I88" s="545"/>
      <c r="J88" s="533"/>
      <c r="K88" s="533"/>
      <c r="L88" s="533"/>
      <c r="O88" s="533"/>
      <c r="P88" s="593"/>
    </row>
    <row r="89" spans="1:19" x14ac:dyDescent="0.2">
      <c r="A89" s="596"/>
      <c r="B89" s="596"/>
      <c r="C89" s="596"/>
      <c r="D89" s="596"/>
      <c r="E89" s="590"/>
      <c r="F89" s="597"/>
      <c r="G89" s="533"/>
      <c r="H89" s="533"/>
      <c r="I89" s="545"/>
      <c r="J89" s="533"/>
      <c r="K89" s="533"/>
      <c r="L89" s="533"/>
      <c r="O89" s="533"/>
      <c r="P89" s="593"/>
    </row>
    <row r="90" spans="1:19" s="596" customFormat="1" x14ac:dyDescent="0.2">
      <c r="E90" s="590"/>
      <c r="F90" s="597"/>
      <c r="G90" s="533"/>
      <c r="H90" s="533"/>
      <c r="I90" s="545"/>
      <c r="J90" s="533"/>
      <c r="K90" s="533"/>
      <c r="L90" s="533"/>
      <c r="M90" s="533"/>
      <c r="N90" s="533"/>
      <c r="O90" s="533"/>
      <c r="P90" s="593"/>
      <c r="Q90" s="593"/>
      <c r="R90" s="599"/>
      <c r="S90" s="599"/>
    </row>
    <row r="91" spans="1:19" s="596" customFormat="1" x14ac:dyDescent="0.2">
      <c r="E91" s="590"/>
      <c r="F91" s="597"/>
      <c r="G91" s="533"/>
      <c r="H91" s="533"/>
      <c r="I91" s="545"/>
      <c r="J91" s="533"/>
      <c r="K91" s="533"/>
      <c r="L91" s="533"/>
      <c r="M91" s="533"/>
      <c r="N91" s="533"/>
      <c r="O91" s="533"/>
      <c r="P91" s="593"/>
      <c r="Q91" s="593"/>
      <c r="R91" s="599"/>
      <c r="S91" s="599"/>
    </row>
    <row r="92" spans="1:19" s="596" customFormat="1" x14ac:dyDescent="0.2">
      <c r="E92" s="590"/>
      <c r="F92" s="597"/>
      <c r="G92" s="533"/>
      <c r="H92" s="533"/>
      <c r="I92" s="545"/>
      <c r="J92" s="533"/>
      <c r="K92" s="533"/>
      <c r="L92" s="533"/>
      <c r="M92" s="533"/>
      <c r="N92" s="533"/>
      <c r="O92" s="533"/>
      <c r="P92" s="593"/>
      <c r="Q92" s="593"/>
      <c r="R92" s="599"/>
      <c r="S92" s="599"/>
    </row>
    <row r="93" spans="1:19" s="596" customFormat="1" x14ac:dyDescent="0.2">
      <c r="E93" s="590"/>
      <c r="F93" s="597"/>
      <c r="G93" s="533"/>
      <c r="H93" s="533"/>
      <c r="I93" s="545"/>
      <c r="J93" s="533"/>
      <c r="K93" s="533"/>
      <c r="L93" s="533"/>
      <c r="M93" s="533"/>
      <c r="N93" s="533"/>
      <c r="O93" s="533"/>
      <c r="P93" s="593"/>
      <c r="Q93" s="593"/>
      <c r="R93" s="599"/>
      <c r="S93" s="599"/>
    </row>
    <row r="94" spans="1:19" s="596" customFormat="1" x14ac:dyDescent="0.2">
      <c r="E94" s="590"/>
      <c r="F94" s="597"/>
      <c r="G94" s="533"/>
      <c r="H94" s="533"/>
      <c r="I94" s="545"/>
      <c r="J94" s="533"/>
      <c r="K94" s="533"/>
      <c r="L94" s="533"/>
      <c r="M94" s="533"/>
      <c r="N94" s="533"/>
      <c r="O94" s="533"/>
      <c r="P94" s="593"/>
      <c r="Q94" s="593"/>
      <c r="R94" s="599"/>
      <c r="S94" s="599"/>
    </row>
    <row r="95" spans="1:19" s="596" customFormat="1" x14ac:dyDescent="0.2">
      <c r="E95" s="590"/>
      <c r="F95" s="597"/>
      <c r="G95" s="533"/>
      <c r="H95" s="533"/>
      <c r="I95" s="545"/>
      <c r="J95" s="533"/>
      <c r="K95" s="533"/>
      <c r="L95" s="533"/>
      <c r="M95" s="533"/>
      <c r="P95" s="599"/>
      <c r="Q95" s="599"/>
      <c r="R95" s="599"/>
      <c r="S95" s="599"/>
    </row>
    <row r="96" spans="1:19" s="596" customFormat="1" x14ac:dyDescent="0.2">
      <c r="E96" s="590"/>
      <c r="F96" s="597"/>
      <c r="G96" s="533"/>
      <c r="H96" s="533"/>
      <c r="I96" s="545"/>
      <c r="J96" s="533"/>
      <c r="K96" s="533"/>
      <c r="L96" s="533"/>
      <c r="M96" s="533"/>
      <c r="P96" s="599"/>
      <c r="Q96" s="599"/>
      <c r="R96" s="599"/>
      <c r="S96" s="599"/>
    </row>
    <row r="97" spans="5:19" s="596" customFormat="1" x14ac:dyDescent="0.2">
      <c r="E97" s="590"/>
      <c r="F97" s="597"/>
      <c r="G97" s="533"/>
      <c r="H97" s="533"/>
      <c r="I97" s="545"/>
      <c r="J97" s="533"/>
      <c r="K97" s="533"/>
      <c r="L97" s="533"/>
      <c r="M97" s="533"/>
      <c r="P97" s="599"/>
      <c r="Q97" s="599"/>
      <c r="R97" s="599"/>
      <c r="S97" s="599"/>
    </row>
    <row r="98" spans="5:19" s="596" customFormat="1" x14ac:dyDescent="0.2">
      <c r="E98" s="590"/>
      <c r="F98" s="597"/>
      <c r="G98" s="533"/>
      <c r="H98" s="533"/>
      <c r="I98" s="545"/>
      <c r="J98" s="533"/>
      <c r="K98" s="533"/>
      <c r="L98" s="533"/>
      <c r="M98" s="533"/>
      <c r="P98" s="599"/>
      <c r="Q98" s="599"/>
      <c r="R98" s="599"/>
      <c r="S98" s="599"/>
    </row>
    <row r="99" spans="5:19" s="596" customFormat="1" x14ac:dyDescent="0.2">
      <c r="E99" s="590"/>
      <c r="F99" s="597"/>
      <c r="G99" s="533"/>
      <c r="H99" s="533"/>
      <c r="I99" s="545"/>
      <c r="J99" s="533"/>
      <c r="K99" s="533"/>
      <c r="L99" s="533"/>
      <c r="M99" s="533"/>
      <c r="P99" s="599"/>
      <c r="Q99" s="599"/>
      <c r="R99" s="599"/>
      <c r="S99" s="599"/>
    </row>
    <row r="100" spans="5:19" s="596" customFormat="1" x14ac:dyDescent="0.2">
      <c r="E100" s="590"/>
      <c r="F100" s="597"/>
      <c r="G100" s="533"/>
      <c r="H100" s="533"/>
      <c r="I100" s="545"/>
      <c r="J100" s="533"/>
      <c r="K100" s="533"/>
      <c r="L100" s="533"/>
      <c r="M100" s="533"/>
      <c r="P100" s="599"/>
      <c r="Q100" s="599"/>
      <c r="R100" s="599"/>
      <c r="S100" s="599"/>
    </row>
    <row r="101" spans="5:19" s="596" customFormat="1" x14ac:dyDescent="0.2">
      <c r="E101" s="590"/>
      <c r="F101" s="597"/>
      <c r="G101" s="533"/>
      <c r="H101" s="533"/>
      <c r="I101" s="545"/>
      <c r="J101" s="533"/>
      <c r="K101" s="533"/>
      <c r="L101" s="533"/>
      <c r="M101" s="533"/>
      <c r="P101" s="599"/>
      <c r="Q101" s="599"/>
      <c r="R101" s="599"/>
      <c r="S101" s="599"/>
    </row>
    <row r="102" spans="5:19" s="596" customFormat="1" x14ac:dyDescent="0.2">
      <c r="E102" s="590"/>
      <c r="F102" s="597"/>
      <c r="G102" s="533"/>
      <c r="H102" s="533"/>
      <c r="I102" s="545"/>
      <c r="J102" s="533"/>
      <c r="K102" s="533"/>
      <c r="L102" s="533"/>
      <c r="M102" s="533"/>
      <c r="P102" s="599"/>
      <c r="Q102" s="599"/>
      <c r="R102" s="599"/>
      <c r="S102" s="599"/>
    </row>
    <row r="103" spans="5:19" s="596" customFormat="1" x14ac:dyDescent="0.2">
      <c r="E103" s="590"/>
      <c r="F103" s="597"/>
      <c r="G103" s="533"/>
      <c r="H103" s="533"/>
      <c r="I103" s="545"/>
      <c r="J103" s="533"/>
      <c r="K103" s="533"/>
      <c r="L103" s="533"/>
      <c r="M103" s="533"/>
      <c r="P103" s="599"/>
      <c r="Q103" s="599"/>
      <c r="R103" s="599"/>
      <c r="S103" s="599"/>
    </row>
    <row r="104" spans="5:19" s="596" customFormat="1" x14ac:dyDescent="0.2">
      <c r="E104" s="590"/>
      <c r="F104" s="597"/>
      <c r="G104" s="533"/>
      <c r="H104" s="533"/>
      <c r="I104" s="545"/>
      <c r="J104" s="533"/>
      <c r="K104" s="533"/>
      <c r="L104" s="533"/>
      <c r="M104" s="533"/>
      <c r="P104" s="599"/>
      <c r="Q104" s="599"/>
      <c r="R104" s="599"/>
      <c r="S104" s="599"/>
    </row>
    <row r="105" spans="5:19" s="596" customFormat="1" x14ac:dyDescent="0.2">
      <c r="E105" s="590"/>
      <c r="F105" s="597"/>
      <c r="G105" s="533"/>
      <c r="H105" s="533"/>
      <c r="I105" s="545"/>
      <c r="J105" s="533"/>
      <c r="K105" s="533"/>
      <c r="L105" s="533"/>
      <c r="M105" s="533"/>
      <c r="P105" s="599"/>
      <c r="Q105" s="599"/>
      <c r="R105" s="599"/>
      <c r="S105" s="599"/>
    </row>
    <row r="106" spans="5:19" s="596" customFormat="1" x14ac:dyDescent="0.2">
      <c r="E106" s="590"/>
      <c r="F106" s="597"/>
      <c r="G106" s="533"/>
      <c r="H106" s="533"/>
      <c r="I106" s="545"/>
      <c r="J106" s="533"/>
      <c r="K106" s="533"/>
      <c r="L106" s="533"/>
      <c r="M106" s="533"/>
      <c r="P106" s="599"/>
      <c r="Q106" s="599"/>
      <c r="R106" s="599"/>
      <c r="S106" s="599"/>
    </row>
    <row r="107" spans="5:19" s="596" customFormat="1" x14ac:dyDescent="0.2">
      <c r="E107" s="590"/>
      <c r="F107" s="597"/>
      <c r="G107" s="533"/>
      <c r="H107" s="533"/>
      <c r="I107" s="545"/>
      <c r="J107" s="533"/>
      <c r="K107" s="533"/>
      <c r="L107" s="533"/>
      <c r="M107" s="533"/>
      <c r="P107" s="599"/>
      <c r="Q107" s="599"/>
      <c r="R107" s="599"/>
      <c r="S107" s="599"/>
    </row>
    <row r="108" spans="5:19" s="596" customFormat="1" x14ac:dyDescent="0.2">
      <c r="E108" s="590"/>
      <c r="F108" s="597"/>
      <c r="G108" s="533"/>
      <c r="H108" s="533"/>
      <c r="I108" s="545"/>
      <c r="J108" s="533"/>
      <c r="K108" s="533"/>
      <c r="L108" s="533"/>
      <c r="M108" s="533"/>
      <c r="P108" s="599"/>
      <c r="Q108" s="599"/>
      <c r="R108" s="599"/>
      <c r="S108" s="599"/>
    </row>
    <row r="109" spans="5:19" s="596" customFormat="1" x14ac:dyDescent="0.2">
      <c r="E109" s="590"/>
      <c r="F109" s="597"/>
      <c r="G109" s="533"/>
      <c r="H109" s="533"/>
      <c r="I109" s="545"/>
      <c r="J109" s="533"/>
      <c r="K109" s="533"/>
      <c r="L109" s="533"/>
      <c r="M109" s="533"/>
      <c r="P109" s="599"/>
      <c r="Q109" s="599"/>
      <c r="R109" s="599"/>
      <c r="S109" s="599"/>
    </row>
    <row r="110" spans="5:19" s="596" customFormat="1" x14ac:dyDescent="0.2">
      <c r="E110" s="590"/>
      <c r="F110" s="597"/>
      <c r="G110" s="533"/>
      <c r="H110" s="533"/>
      <c r="I110" s="545"/>
      <c r="J110" s="533"/>
      <c r="K110" s="533"/>
      <c r="L110" s="533"/>
      <c r="P110" s="599"/>
      <c r="Q110" s="599"/>
      <c r="R110" s="599"/>
      <c r="S110" s="599"/>
    </row>
    <row r="111" spans="5:19" s="596" customFormat="1" x14ac:dyDescent="0.2">
      <c r="E111" s="590"/>
      <c r="F111" s="597"/>
      <c r="G111" s="533"/>
      <c r="H111" s="533"/>
      <c r="I111" s="545"/>
      <c r="J111" s="533"/>
      <c r="K111" s="533"/>
      <c r="L111" s="533"/>
      <c r="P111" s="599"/>
      <c r="Q111" s="599"/>
      <c r="R111" s="599"/>
      <c r="S111" s="599"/>
    </row>
    <row r="112" spans="5:19" s="596" customFormat="1" x14ac:dyDescent="0.2">
      <c r="E112" s="590"/>
      <c r="F112" s="597"/>
      <c r="G112" s="533"/>
      <c r="H112" s="533"/>
      <c r="I112" s="545"/>
      <c r="J112" s="533"/>
      <c r="K112" s="533"/>
      <c r="L112" s="533"/>
      <c r="P112" s="599"/>
      <c r="Q112" s="599"/>
      <c r="R112" s="599"/>
      <c r="S112" s="599"/>
    </row>
    <row r="113" spans="5:19" s="596" customFormat="1" x14ac:dyDescent="0.2">
      <c r="E113" s="590"/>
      <c r="F113" s="597"/>
      <c r="G113" s="533"/>
      <c r="H113" s="533"/>
      <c r="I113" s="545"/>
      <c r="J113" s="533"/>
      <c r="K113" s="533"/>
      <c r="L113" s="533"/>
      <c r="P113" s="599"/>
      <c r="Q113" s="599"/>
      <c r="R113" s="599"/>
      <c r="S113" s="599"/>
    </row>
    <row r="114" spans="5:19" s="596" customFormat="1" x14ac:dyDescent="0.2">
      <c r="E114" s="590"/>
      <c r="F114" s="597"/>
      <c r="G114" s="533"/>
      <c r="H114" s="533"/>
      <c r="I114" s="545"/>
      <c r="J114" s="533"/>
      <c r="K114" s="533"/>
      <c r="L114" s="533"/>
      <c r="P114" s="599"/>
      <c r="Q114" s="599"/>
      <c r="R114" s="599"/>
      <c r="S114" s="599"/>
    </row>
    <row r="115" spans="5:19" s="596" customFormat="1" x14ac:dyDescent="0.2">
      <c r="E115" s="590"/>
      <c r="F115" s="597"/>
      <c r="G115" s="533"/>
      <c r="H115" s="533"/>
      <c r="I115" s="545"/>
      <c r="J115" s="533"/>
      <c r="K115" s="533"/>
      <c r="L115" s="533"/>
      <c r="P115" s="599"/>
      <c r="Q115" s="599"/>
      <c r="R115" s="599"/>
      <c r="S115" s="599"/>
    </row>
    <row r="116" spans="5:19" s="596" customFormat="1" x14ac:dyDescent="0.2">
      <c r="E116" s="590"/>
      <c r="F116" s="597"/>
      <c r="G116" s="533"/>
      <c r="H116" s="533"/>
      <c r="I116" s="545"/>
      <c r="J116" s="533"/>
      <c r="K116" s="533"/>
      <c r="L116" s="533"/>
      <c r="P116" s="599"/>
      <c r="Q116" s="599"/>
      <c r="R116" s="599"/>
      <c r="S116" s="599"/>
    </row>
    <row r="117" spans="5:19" s="596" customFormat="1" x14ac:dyDescent="0.2">
      <c r="E117" s="590"/>
      <c r="F117" s="597"/>
      <c r="G117" s="533"/>
      <c r="H117" s="533"/>
      <c r="I117" s="545"/>
      <c r="J117" s="533"/>
      <c r="K117" s="533"/>
      <c r="L117" s="533"/>
      <c r="P117" s="599"/>
      <c r="Q117" s="599"/>
      <c r="R117" s="599"/>
      <c r="S117" s="599"/>
    </row>
    <row r="118" spans="5:19" s="596" customFormat="1" x14ac:dyDescent="0.2">
      <c r="E118" s="590"/>
      <c r="F118" s="597"/>
      <c r="G118" s="533"/>
      <c r="H118" s="533"/>
      <c r="I118" s="545"/>
      <c r="J118" s="533"/>
      <c r="K118" s="533"/>
      <c r="L118" s="533"/>
      <c r="P118" s="599"/>
      <c r="Q118" s="599"/>
      <c r="R118" s="599"/>
      <c r="S118" s="599"/>
    </row>
    <row r="119" spans="5:19" s="596" customFormat="1" x14ac:dyDescent="0.2">
      <c r="E119" s="590"/>
      <c r="F119" s="597"/>
      <c r="G119" s="533"/>
      <c r="H119" s="533"/>
      <c r="I119" s="545"/>
      <c r="J119" s="533"/>
      <c r="K119" s="533"/>
      <c r="L119" s="533"/>
      <c r="P119" s="599"/>
      <c r="Q119" s="599"/>
      <c r="R119" s="599"/>
      <c r="S119" s="599"/>
    </row>
    <row r="120" spans="5:19" s="596" customFormat="1" x14ac:dyDescent="0.2">
      <c r="E120" s="590"/>
      <c r="F120" s="597"/>
      <c r="G120" s="533"/>
      <c r="H120" s="533"/>
      <c r="I120" s="545"/>
      <c r="J120" s="533"/>
      <c r="K120" s="533"/>
      <c r="L120" s="533"/>
      <c r="P120" s="599"/>
      <c r="Q120" s="599"/>
      <c r="R120" s="599"/>
      <c r="S120" s="599"/>
    </row>
    <row r="121" spans="5:19" s="596" customFormat="1" x14ac:dyDescent="0.2">
      <c r="E121" s="590"/>
      <c r="F121" s="597"/>
      <c r="G121" s="533"/>
      <c r="H121" s="533"/>
      <c r="I121" s="545"/>
      <c r="J121" s="533"/>
      <c r="K121" s="533"/>
      <c r="L121" s="533"/>
      <c r="P121" s="599"/>
      <c r="Q121" s="599"/>
      <c r="R121" s="599"/>
      <c r="S121" s="599"/>
    </row>
    <row r="122" spans="5:19" s="596" customFormat="1" x14ac:dyDescent="0.2">
      <c r="E122" s="590"/>
      <c r="F122" s="597"/>
      <c r="G122" s="533"/>
      <c r="H122" s="533"/>
      <c r="I122" s="545"/>
      <c r="J122" s="533"/>
      <c r="K122" s="533"/>
      <c r="L122" s="533"/>
      <c r="P122" s="599"/>
      <c r="Q122" s="599"/>
      <c r="R122" s="599"/>
      <c r="S122" s="599"/>
    </row>
    <row r="123" spans="5:19" s="596" customFormat="1" x14ac:dyDescent="0.2">
      <c r="E123" s="590"/>
      <c r="F123" s="597"/>
      <c r="G123" s="533"/>
      <c r="H123" s="533"/>
      <c r="I123" s="545"/>
      <c r="J123" s="533"/>
      <c r="K123" s="533"/>
      <c r="L123" s="533"/>
      <c r="P123" s="599"/>
      <c r="Q123" s="599"/>
      <c r="R123" s="599"/>
      <c r="S123" s="599"/>
    </row>
    <row r="124" spans="5:19" s="596" customFormat="1" x14ac:dyDescent="0.2">
      <c r="E124" s="590"/>
      <c r="F124" s="597"/>
      <c r="G124" s="533"/>
      <c r="H124" s="533"/>
      <c r="I124" s="545"/>
      <c r="J124" s="533"/>
      <c r="K124" s="533"/>
      <c r="L124" s="533"/>
      <c r="P124" s="599"/>
      <c r="Q124" s="599"/>
      <c r="R124" s="599"/>
      <c r="S124" s="599"/>
    </row>
    <row r="125" spans="5:19" s="596" customFormat="1" x14ac:dyDescent="0.2">
      <c r="E125" s="590"/>
      <c r="F125" s="597"/>
      <c r="G125" s="533"/>
      <c r="H125" s="533"/>
      <c r="I125" s="545"/>
      <c r="J125" s="533"/>
      <c r="K125" s="533"/>
      <c r="L125" s="533"/>
      <c r="P125" s="599"/>
      <c r="Q125" s="599"/>
      <c r="R125" s="599"/>
      <c r="S125" s="599"/>
    </row>
    <row r="126" spans="5:19" s="596" customFormat="1" x14ac:dyDescent="0.2">
      <c r="E126" s="590"/>
      <c r="F126" s="597"/>
      <c r="G126" s="533"/>
      <c r="H126" s="533"/>
      <c r="I126" s="545"/>
      <c r="J126" s="533"/>
      <c r="K126" s="533"/>
      <c r="L126" s="533"/>
      <c r="P126" s="599"/>
      <c r="Q126" s="599"/>
      <c r="R126" s="599"/>
      <c r="S126" s="599"/>
    </row>
    <row r="127" spans="5:19" s="596" customFormat="1" x14ac:dyDescent="0.2">
      <c r="E127" s="590"/>
      <c r="F127" s="597"/>
      <c r="G127" s="533"/>
      <c r="H127" s="533"/>
      <c r="I127" s="545"/>
      <c r="J127" s="533"/>
      <c r="K127" s="533"/>
      <c r="L127" s="533"/>
      <c r="P127" s="599"/>
      <c r="Q127" s="599"/>
      <c r="R127" s="599"/>
      <c r="S127" s="599"/>
    </row>
    <row r="128" spans="5:19" s="596" customFormat="1" x14ac:dyDescent="0.2">
      <c r="E128" s="590"/>
      <c r="F128" s="597"/>
      <c r="G128" s="533"/>
      <c r="H128" s="533"/>
      <c r="I128" s="545"/>
      <c r="J128" s="533"/>
      <c r="K128" s="533"/>
      <c r="L128" s="533"/>
      <c r="P128" s="599"/>
      <c r="Q128" s="599"/>
      <c r="R128" s="599"/>
      <c r="S128" s="599"/>
    </row>
    <row r="129" spans="5:19" s="596" customFormat="1" x14ac:dyDescent="0.2">
      <c r="E129" s="590"/>
      <c r="F129" s="597"/>
      <c r="G129" s="533"/>
      <c r="H129" s="533"/>
      <c r="I129" s="545"/>
      <c r="J129" s="533"/>
      <c r="K129" s="533"/>
      <c r="L129" s="533"/>
      <c r="P129" s="599"/>
      <c r="Q129" s="599"/>
      <c r="R129" s="599"/>
      <c r="S129" s="599"/>
    </row>
    <row r="130" spans="5:19" s="596" customFormat="1" x14ac:dyDescent="0.2">
      <c r="E130" s="590"/>
      <c r="F130" s="597"/>
      <c r="G130" s="533"/>
      <c r="H130" s="533"/>
      <c r="I130" s="545"/>
      <c r="J130" s="533"/>
      <c r="K130" s="533"/>
      <c r="L130" s="533"/>
      <c r="P130" s="599"/>
      <c r="Q130" s="599"/>
      <c r="R130" s="599"/>
      <c r="S130" s="599"/>
    </row>
    <row r="131" spans="5:19" s="596" customFormat="1" x14ac:dyDescent="0.2">
      <c r="E131" s="590"/>
      <c r="F131" s="597"/>
      <c r="G131" s="533"/>
      <c r="H131" s="533"/>
      <c r="I131" s="545"/>
      <c r="J131" s="533"/>
      <c r="K131" s="533"/>
      <c r="L131" s="533"/>
      <c r="P131" s="599"/>
      <c r="Q131" s="599"/>
      <c r="R131" s="599"/>
      <c r="S131" s="599"/>
    </row>
    <row r="132" spans="5:19" s="596" customFormat="1" x14ac:dyDescent="0.2">
      <c r="E132" s="590"/>
      <c r="F132" s="597"/>
      <c r="G132" s="533"/>
      <c r="H132" s="533"/>
      <c r="I132" s="545"/>
      <c r="J132" s="533"/>
      <c r="K132" s="533"/>
      <c r="L132" s="533"/>
      <c r="P132" s="599"/>
      <c r="Q132" s="599"/>
      <c r="R132" s="599"/>
      <c r="S132" s="599"/>
    </row>
    <row r="133" spans="5:19" s="596" customFormat="1" x14ac:dyDescent="0.2">
      <c r="E133" s="590"/>
      <c r="F133" s="597"/>
      <c r="G133" s="533"/>
      <c r="H133" s="533"/>
      <c r="I133" s="545"/>
      <c r="J133" s="533"/>
      <c r="K133" s="533"/>
      <c r="L133" s="533"/>
      <c r="P133" s="599"/>
      <c r="Q133" s="599"/>
      <c r="R133" s="599"/>
      <c r="S133" s="599"/>
    </row>
    <row r="134" spans="5:19" s="596" customFormat="1" x14ac:dyDescent="0.2">
      <c r="E134" s="590"/>
      <c r="F134" s="597"/>
      <c r="G134" s="533"/>
      <c r="H134" s="533"/>
      <c r="I134" s="545"/>
      <c r="J134" s="533"/>
      <c r="K134" s="533"/>
      <c r="L134" s="533"/>
      <c r="P134" s="599"/>
      <c r="Q134" s="599"/>
      <c r="R134" s="599"/>
      <c r="S134" s="599"/>
    </row>
    <row r="135" spans="5:19" s="596" customFormat="1" x14ac:dyDescent="0.2">
      <c r="E135" s="590"/>
      <c r="F135" s="597"/>
      <c r="G135" s="533"/>
      <c r="H135" s="533"/>
      <c r="I135" s="545"/>
      <c r="J135" s="533"/>
      <c r="K135" s="533"/>
      <c r="L135" s="533"/>
      <c r="P135" s="599"/>
      <c r="Q135" s="599"/>
      <c r="R135" s="599"/>
      <c r="S135" s="599"/>
    </row>
    <row r="136" spans="5:19" s="596" customFormat="1" x14ac:dyDescent="0.2">
      <c r="E136" s="590"/>
      <c r="F136" s="597"/>
      <c r="G136" s="533"/>
      <c r="H136" s="533"/>
      <c r="I136" s="545"/>
      <c r="J136" s="533"/>
      <c r="K136" s="533"/>
      <c r="L136" s="533"/>
      <c r="P136" s="599"/>
      <c r="Q136" s="599"/>
      <c r="R136" s="599"/>
      <c r="S136" s="599"/>
    </row>
    <row r="137" spans="5:19" s="596" customFormat="1" x14ac:dyDescent="0.2">
      <c r="E137" s="590"/>
      <c r="F137" s="597"/>
      <c r="G137" s="533"/>
      <c r="H137" s="533"/>
      <c r="I137" s="545"/>
      <c r="J137" s="533"/>
      <c r="K137" s="533"/>
      <c r="L137" s="533"/>
      <c r="P137" s="599"/>
      <c r="Q137" s="599"/>
      <c r="R137" s="599"/>
      <c r="S137" s="599"/>
    </row>
    <row r="138" spans="5:19" s="596" customFormat="1" x14ac:dyDescent="0.2">
      <c r="E138" s="590"/>
      <c r="F138" s="597"/>
      <c r="G138" s="533"/>
      <c r="H138" s="533"/>
      <c r="I138" s="545"/>
      <c r="J138" s="533"/>
      <c r="K138" s="533"/>
      <c r="L138" s="533"/>
      <c r="P138" s="599"/>
      <c r="Q138" s="599"/>
      <c r="R138" s="599"/>
      <c r="S138" s="599"/>
    </row>
    <row r="139" spans="5:19" s="596" customFormat="1" x14ac:dyDescent="0.2">
      <c r="E139" s="590"/>
      <c r="F139" s="597"/>
      <c r="G139" s="533"/>
      <c r="H139" s="533"/>
      <c r="I139" s="545"/>
      <c r="J139" s="533"/>
      <c r="K139" s="533"/>
      <c r="L139" s="533"/>
      <c r="P139" s="599"/>
      <c r="Q139" s="599"/>
      <c r="R139" s="599"/>
      <c r="S139" s="599"/>
    </row>
    <row r="140" spans="5:19" s="596" customFormat="1" x14ac:dyDescent="0.2">
      <c r="E140" s="590"/>
      <c r="F140" s="597"/>
      <c r="G140" s="533"/>
      <c r="H140" s="533"/>
      <c r="I140" s="545"/>
      <c r="J140" s="533"/>
      <c r="K140" s="533"/>
      <c r="L140" s="533"/>
      <c r="P140" s="599"/>
      <c r="Q140" s="599"/>
      <c r="R140" s="599"/>
      <c r="S140" s="599"/>
    </row>
    <row r="141" spans="5:19" s="596" customFormat="1" x14ac:dyDescent="0.2">
      <c r="E141" s="590"/>
      <c r="F141" s="597"/>
      <c r="G141" s="533"/>
      <c r="H141" s="533"/>
      <c r="I141" s="545"/>
      <c r="J141" s="533"/>
      <c r="K141" s="533"/>
      <c r="L141" s="533"/>
      <c r="P141" s="599"/>
      <c r="Q141" s="599"/>
      <c r="R141" s="599"/>
      <c r="S141" s="599"/>
    </row>
    <row r="142" spans="5:19" s="596" customFormat="1" x14ac:dyDescent="0.2">
      <c r="E142" s="590"/>
      <c r="F142" s="597"/>
      <c r="G142" s="533"/>
      <c r="H142" s="533"/>
      <c r="I142" s="545"/>
      <c r="J142" s="533"/>
      <c r="K142" s="533"/>
      <c r="L142" s="533"/>
      <c r="P142" s="599"/>
      <c r="Q142" s="599"/>
      <c r="R142" s="599"/>
      <c r="S142" s="599"/>
    </row>
    <row r="143" spans="5:19" s="596" customFormat="1" x14ac:dyDescent="0.2">
      <c r="E143" s="590"/>
      <c r="F143" s="597"/>
      <c r="G143" s="533"/>
      <c r="H143" s="533"/>
      <c r="I143" s="545"/>
      <c r="J143" s="533"/>
      <c r="K143" s="533"/>
      <c r="L143" s="533"/>
      <c r="P143" s="599"/>
      <c r="Q143" s="599"/>
      <c r="R143" s="599"/>
      <c r="S143" s="599"/>
    </row>
    <row r="144" spans="5:19" s="596" customFormat="1" x14ac:dyDescent="0.2">
      <c r="E144" s="590"/>
      <c r="F144" s="597"/>
      <c r="G144" s="533"/>
      <c r="H144" s="533"/>
      <c r="I144" s="545"/>
      <c r="J144" s="533"/>
      <c r="K144" s="533"/>
      <c r="L144" s="533"/>
      <c r="P144" s="599"/>
      <c r="Q144" s="599"/>
      <c r="R144" s="599"/>
      <c r="S144" s="599"/>
    </row>
    <row r="145" spans="1:19" s="596" customFormat="1" x14ac:dyDescent="0.2">
      <c r="E145" s="590"/>
      <c r="F145" s="597"/>
      <c r="G145" s="533"/>
      <c r="H145" s="533"/>
      <c r="I145" s="545"/>
      <c r="J145" s="533"/>
      <c r="K145" s="533"/>
      <c r="L145" s="533"/>
      <c r="P145" s="599"/>
      <c r="Q145" s="599"/>
      <c r="R145" s="599"/>
      <c r="S145" s="599"/>
    </row>
    <row r="146" spans="1:19" s="596" customFormat="1" x14ac:dyDescent="0.2">
      <c r="E146" s="590"/>
      <c r="F146" s="597"/>
      <c r="G146" s="533"/>
      <c r="H146" s="533"/>
      <c r="I146" s="545"/>
      <c r="J146" s="533"/>
      <c r="K146" s="533"/>
      <c r="L146" s="533"/>
      <c r="P146" s="599"/>
      <c r="Q146" s="599"/>
      <c r="R146" s="599"/>
      <c r="S146" s="599"/>
    </row>
    <row r="147" spans="1:19" x14ac:dyDescent="0.2">
      <c r="A147" s="596"/>
      <c r="B147" s="596"/>
      <c r="C147" s="596"/>
      <c r="D147" s="596"/>
      <c r="E147" s="590"/>
      <c r="F147" s="597"/>
      <c r="G147" s="533"/>
      <c r="H147" s="533"/>
      <c r="I147" s="545"/>
      <c r="J147" s="533"/>
      <c r="K147" s="533"/>
      <c r="L147" s="533"/>
      <c r="M147" s="596"/>
      <c r="N147" s="596"/>
      <c r="O147" s="596"/>
      <c r="P147" s="599"/>
      <c r="Q147" s="599"/>
    </row>
    <row r="148" spans="1:19" x14ac:dyDescent="0.2">
      <c r="A148" s="596"/>
      <c r="B148" s="596"/>
      <c r="C148" s="596"/>
      <c r="D148" s="596"/>
      <c r="E148" s="590"/>
      <c r="F148" s="597"/>
      <c r="G148" s="533"/>
      <c r="H148" s="533"/>
      <c r="I148" s="545"/>
      <c r="J148" s="533"/>
      <c r="K148" s="533"/>
      <c r="L148" s="533"/>
      <c r="M148" s="596"/>
      <c r="N148" s="596"/>
      <c r="O148" s="596"/>
      <c r="P148" s="599"/>
      <c r="Q148" s="599"/>
    </row>
    <row r="149" spans="1:19" x14ac:dyDescent="0.2">
      <c r="A149" s="596"/>
      <c r="B149" s="596"/>
      <c r="C149" s="596"/>
      <c r="D149" s="596"/>
      <c r="E149" s="590"/>
      <c r="F149" s="597"/>
      <c r="G149" s="533"/>
      <c r="H149" s="533"/>
      <c r="I149" s="545"/>
      <c r="J149" s="533"/>
      <c r="K149" s="533"/>
      <c r="L149" s="533"/>
      <c r="M149" s="596"/>
      <c r="N149" s="596"/>
      <c r="O149" s="596"/>
      <c r="P149" s="599"/>
      <c r="Q149" s="599"/>
    </row>
    <row r="150" spans="1:19" x14ac:dyDescent="0.2">
      <c r="A150" s="596"/>
      <c r="B150" s="596"/>
      <c r="C150" s="596"/>
      <c r="D150" s="596"/>
      <c r="E150" s="590"/>
      <c r="F150" s="597"/>
      <c r="G150" s="533"/>
      <c r="H150" s="533"/>
      <c r="I150" s="545"/>
      <c r="J150" s="533"/>
      <c r="K150" s="533"/>
      <c r="L150" s="533"/>
      <c r="M150" s="596"/>
      <c r="N150" s="596"/>
      <c r="O150" s="596"/>
      <c r="P150" s="599"/>
      <c r="Q150" s="599"/>
    </row>
    <row r="151" spans="1:19" x14ac:dyDescent="0.2">
      <c r="A151" s="596"/>
      <c r="B151" s="596"/>
      <c r="C151" s="596"/>
      <c r="D151" s="596"/>
      <c r="E151" s="590"/>
      <c r="F151" s="597"/>
      <c r="G151" s="533"/>
      <c r="H151" s="533"/>
      <c r="I151" s="545"/>
      <c r="J151" s="533"/>
      <c r="K151" s="533"/>
      <c r="L151" s="533"/>
      <c r="M151" s="596"/>
      <c r="N151" s="596"/>
      <c r="O151" s="596"/>
      <c r="P151" s="599"/>
      <c r="Q151" s="599"/>
    </row>
    <row r="152" spans="1:19" x14ac:dyDescent="0.2">
      <c r="A152" s="596"/>
      <c r="B152" s="596"/>
      <c r="C152" s="596"/>
      <c r="D152" s="596"/>
      <c r="E152" s="590"/>
      <c r="F152" s="597"/>
      <c r="G152" s="533"/>
      <c r="H152" s="533"/>
      <c r="I152" s="545"/>
      <c r="J152" s="533"/>
      <c r="K152" s="533"/>
      <c r="L152" s="533"/>
      <c r="M152" s="596"/>
    </row>
    <row r="153" spans="1:19" x14ac:dyDescent="0.2">
      <c r="A153" s="596"/>
      <c r="B153" s="596"/>
      <c r="C153" s="596"/>
      <c r="D153" s="596"/>
      <c r="E153" s="590"/>
      <c r="F153" s="597"/>
      <c r="G153" s="533"/>
      <c r="H153" s="533"/>
      <c r="I153" s="545"/>
      <c r="J153" s="533"/>
      <c r="K153" s="533"/>
      <c r="L153" s="533"/>
      <c r="M153" s="596"/>
    </row>
    <row r="154" spans="1:19" x14ac:dyDescent="0.2">
      <c r="A154" s="596"/>
      <c r="B154" s="596"/>
      <c r="C154" s="596"/>
      <c r="D154" s="596"/>
      <c r="E154" s="590"/>
      <c r="F154" s="597"/>
      <c r="G154" s="533"/>
      <c r="H154" s="533"/>
      <c r="I154" s="545"/>
      <c r="J154" s="533"/>
      <c r="K154" s="533"/>
      <c r="L154" s="533"/>
      <c r="M154" s="596"/>
    </row>
    <row r="155" spans="1:19" x14ac:dyDescent="0.2">
      <c r="A155" s="596"/>
      <c r="B155" s="596"/>
      <c r="C155" s="596"/>
      <c r="D155" s="596"/>
      <c r="E155" s="590"/>
      <c r="F155" s="597"/>
      <c r="G155" s="533"/>
      <c r="H155" s="533"/>
      <c r="I155" s="545"/>
      <c r="J155" s="533"/>
      <c r="K155" s="533"/>
      <c r="L155" s="533"/>
      <c r="M155" s="596"/>
    </row>
    <row r="156" spans="1:19" x14ac:dyDescent="0.2">
      <c r="J156" s="533"/>
      <c r="K156" s="533"/>
      <c r="L156" s="533"/>
      <c r="M156" s="596"/>
    </row>
    <row r="157" spans="1:19" x14ac:dyDescent="0.2">
      <c r="J157" s="533"/>
      <c r="K157" s="533"/>
      <c r="L157" s="533"/>
      <c r="M157" s="596"/>
    </row>
    <row r="158" spans="1:19" x14ac:dyDescent="0.2">
      <c r="J158" s="533"/>
      <c r="K158" s="533"/>
      <c r="L158" s="533"/>
      <c r="M158" s="596"/>
    </row>
    <row r="159" spans="1:19" x14ac:dyDescent="0.2">
      <c r="J159" s="533"/>
      <c r="K159" s="533"/>
      <c r="L159" s="533"/>
      <c r="M159" s="596"/>
    </row>
    <row r="160" spans="1:19" x14ac:dyDescent="0.2">
      <c r="J160" s="533"/>
      <c r="K160" s="533"/>
      <c r="L160" s="533"/>
      <c r="M160" s="596"/>
    </row>
    <row r="161" spans="10:13" x14ac:dyDescent="0.2">
      <c r="J161" s="533"/>
      <c r="K161" s="533"/>
      <c r="L161" s="533"/>
      <c r="M161" s="596"/>
    </row>
    <row r="162" spans="10:13" x14ac:dyDescent="0.2">
      <c r="K162" s="533"/>
      <c r="L162" s="533"/>
      <c r="M162" s="596"/>
    </row>
    <row r="163" spans="10:13" x14ac:dyDescent="0.2">
      <c r="K163" s="533"/>
      <c r="L163" s="533"/>
      <c r="M163" s="596"/>
    </row>
    <row r="164" spans="10:13" x14ac:dyDescent="0.2">
      <c r="K164" s="533"/>
      <c r="L164" s="533"/>
      <c r="M164" s="596"/>
    </row>
    <row r="165" spans="10:13" x14ac:dyDescent="0.2">
      <c r="L165" s="533"/>
      <c r="M165" s="596"/>
    </row>
    <row r="166" spans="10:13" x14ac:dyDescent="0.2">
      <c r="L166" s="533"/>
      <c r="M166" s="596"/>
    </row>
    <row r="167" spans="10:13" x14ac:dyDescent="0.2">
      <c r="L167" s="533"/>
    </row>
    <row r="168" spans="10:13" x14ac:dyDescent="0.2">
      <c r="L168" s="533"/>
    </row>
    <row r="169" spans="10:13" x14ac:dyDescent="0.2">
      <c r="L169" s="533"/>
    </row>
  </sheetData>
  <mergeCells count="5">
    <mergeCell ref="A7:L7"/>
    <mergeCell ref="M7:O7"/>
    <mergeCell ref="U7:V7"/>
    <mergeCell ref="D9:F9"/>
    <mergeCell ref="H9:K9"/>
  </mergeCells>
  <conditionalFormatting sqref="Z9:Z57 P58:P74">
    <cfRule type="aboveAverage" dxfId="7" priority="1" aboveAverage="0" stdDev="1"/>
    <cfRule type="aboveAverage" dxfId="6" priority="2" stdDev="1"/>
  </conditionalFormatting>
  <dataValidations count="1">
    <dataValidation type="list" allowBlank="1" showInputMessage="1" showErrorMessage="1" sqref="B5" xr:uid="{8EFF5A17-1812-447F-A0B5-E432CC65DF14}">
      <formula1>$AB$5:$AB$8</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FCB8-3F0E-41DC-815F-9BD390C0D83C}">
  <dimension ref="A1:Z168"/>
  <sheetViews>
    <sheetView workbookViewId="0">
      <selection activeCell="C36" sqref="C36"/>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12" style="596" bestFit="1" customWidth="1"/>
    <col min="8" max="8" width="9.33203125" style="599" customWidth="1"/>
    <col min="9" max="10" width="8.44140625" style="596" bestFit="1" customWidth="1"/>
    <col min="11" max="11" width="8.44140625" style="590" bestFit="1" customWidth="1"/>
    <col min="12" max="12" width="13.6640625" style="597" bestFit="1" customWidth="1"/>
    <col min="13" max="13" width="6.33203125" style="533" bestFit="1" customWidth="1"/>
    <col min="14" max="14" width="5.6640625" style="533" bestFit="1" customWidth="1"/>
    <col min="15" max="15" width="5.88671875" style="545" bestFit="1" customWidth="1"/>
    <col min="16" max="16" width="5.88671875" style="426" bestFit="1" customWidth="1"/>
    <col min="17" max="17" width="14" style="593" bestFit="1" customWidth="1"/>
    <col min="18" max="18" width="6" style="593" bestFit="1" customWidth="1"/>
    <col min="19" max="19" width="8.6640625" style="593" bestFit="1" customWidth="1"/>
    <col min="20" max="21" width="17.33203125" style="533" bestFit="1" customWidth="1"/>
    <col min="22" max="22" width="9.33203125" style="533" bestFit="1" customWidth="1"/>
    <col min="23" max="27" width="5.33203125" style="533" customWidth="1"/>
    <col min="28" max="28" width="17" style="533" customWidth="1"/>
    <col min="29" max="16384" width="7.88671875" style="533"/>
  </cols>
  <sheetData>
    <row r="1" spans="1:24" s="369" customFormat="1" ht="13.2" x14ac:dyDescent="0.25">
      <c r="A1" s="361" t="s">
        <v>104</v>
      </c>
      <c r="B1" s="362" t="s">
        <v>159</v>
      </c>
      <c r="C1" s="363"/>
      <c r="D1" s="362"/>
      <c r="E1" s="364"/>
      <c r="F1" s="364"/>
      <c r="G1" s="365"/>
      <c r="H1" s="366" t="s">
        <v>105</v>
      </c>
      <c r="I1" s="367">
        <v>814</v>
      </c>
      <c r="J1" s="368"/>
      <c r="K1" s="362"/>
      <c r="L1" s="362"/>
      <c r="N1" s="370"/>
      <c r="P1" s="371"/>
      <c r="Q1" s="371"/>
      <c r="R1" s="371"/>
      <c r="S1" s="371"/>
    </row>
    <row r="2" spans="1:24" s="369" customFormat="1" ht="13.2" x14ac:dyDescent="0.25">
      <c r="A2" s="372" t="s">
        <v>106</v>
      </c>
      <c r="B2" s="362" t="s">
        <v>192</v>
      </c>
      <c r="C2" s="373"/>
      <c r="D2" s="362"/>
      <c r="E2" s="374"/>
      <c r="F2" s="374"/>
      <c r="G2" s="375"/>
      <c r="H2" s="376" t="s">
        <v>107</v>
      </c>
      <c r="I2" s="377">
        <f>V12</f>
        <v>717</v>
      </c>
      <c r="J2" s="378"/>
      <c r="K2" s="362"/>
      <c r="L2" s="362"/>
      <c r="N2" s="379"/>
      <c r="P2" s="371"/>
      <c r="Q2" s="371"/>
      <c r="R2" s="371"/>
      <c r="S2" s="371"/>
    </row>
    <row r="3" spans="1:24" s="383" customFormat="1" ht="11.25" customHeight="1" x14ac:dyDescent="0.25">
      <c r="A3" s="380" t="s">
        <v>108</v>
      </c>
      <c r="B3" s="632">
        <v>45785</v>
      </c>
      <c r="C3" s="373"/>
      <c r="D3" s="374"/>
      <c r="E3" s="374"/>
      <c r="F3" s="374"/>
      <c r="G3" s="375"/>
      <c r="H3" s="380" t="s">
        <v>109</v>
      </c>
      <c r="I3" s="382">
        <f>V52/100</f>
        <v>7.17</v>
      </c>
      <c r="J3" s="378"/>
      <c r="K3" s="362"/>
      <c r="L3" s="362"/>
      <c r="N3" s="384"/>
      <c r="P3" s="385"/>
      <c r="Q3" s="385"/>
      <c r="R3" s="385"/>
      <c r="S3" s="385"/>
    </row>
    <row r="4" spans="1:24" s="369" customFormat="1" ht="13.2" x14ac:dyDescent="0.25">
      <c r="A4" s="380" t="s">
        <v>110</v>
      </c>
      <c r="B4" s="381" t="s">
        <v>219</v>
      </c>
      <c r="C4" s="373"/>
      <c r="D4" s="374"/>
      <c r="E4" s="374"/>
      <c r="F4" s="374"/>
      <c r="G4" s="375"/>
      <c r="H4" s="380" t="s">
        <v>111</v>
      </c>
      <c r="I4" s="386">
        <f>S34</f>
        <v>0.45692150916553409</v>
      </c>
      <c r="J4" s="378"/>
      <c r="K4" s="362"/>
      <c r="L4" s="362"/>
      <c r="M4" s="370"/>
      <c r="N4" s="370"/>
      <c r="P4" s="371"/>
      <c r="Q4" s="371"/>
      <c r="R4" s="371"/>
      <c r="S4" s="371"/>
    </row>
    <row r="5" spans="1:24" s="390" customFormat="1" ht="13.2" x14ac:dyDescent="0.25">
      <c r="A5" s="372" t="s">
        <v>112</v>
      </c>
      <c r="B5" s="387" t="s">
        <v>113</v>
      </c>
      <c r="C5" s="373"/>
      <c r="D5" s="374"/>
      <c r="E5" s="374"/>
      <c r="F5" s="374"/>
      <c r="G5" s="375"/>
      <c r="H5" s="380"/>
      <c r="I5" s="388"/>
      <c r="J5" s="378"/>
      <c r="K5" s="362"/>
      <c r="L5" s="362"/>
      <c r="M5" s="389"/>
      <c r="N5" s="389"/>
      <c r="P5" s="391"/>
      <c r="Q5" s="391"/>
      <c r="R5" s="391"/>
      <c r="S5" s="391"/>
    </row>
    <row r="6" spans="1:24" s="389" customFormat="1" ht="13.8" thickBot="1" x14ac:dyDescent="0.25">
      <c r="A6" s="392"/>
      <c r="B6" s="393"/>
      <c r="C6" s="394"/>
      <c r="D6" s="395"/>
      <c r="E6" s="395"/>
      <c r="F6" s="395"/>
      <c r="G6" s="396"/>
      <c r="H6" s="397"/>
      <c r="I6" s="398"/>
      <c r="J6" s="396"/>
      <c r="K6" s="393"/>
      <c r="L6" s="393"/>
      <c r="M6" s="399"/>
      <c r="P6" s="400"/>
      <c r="Q6" s="400"/>
      <c r="R6" s="400"/>
      <c r="S6" s="400"/>
    </row>
    <row r="7" spans="1:24" s="390" customFormat="1" ht="13.2" customHeight="1" x14ac:dyDescent="0.2">
      <c r="A7" s="952" t="s">
        <v>114</v>
      </c>
      <c r="B7" s="953"/>
      <c r="C7" s="953"/>
      <c r="D7" s="953"/>
      <c r="E7" s="953"/>
      <c r="F7" s="953"/>
      <c r="G7" s="953"/>
      <c r="H7" s="953"/>
      <c r="I7" s="953"/>
      <c r="J7" s="953"/>
      <c r="K7" s="953"/>
      <c r="L7" s="953"/>
      <c r="M7" s="954" t="s">
        <v>115</v>
      </c>
      <c r="N7" s="955"/>
      <c r="O7" s="956"/>
      <c r="P7" s="401" t="s">
        <v>116</v>
      </c>
      <c r="Q7" s="402"/>
      <c r="R7" s="401" t="s">
        <v>117</v>
      </c>
      <c r="S7" s="401"/>
      <c r="T7" s="403"/>
      <c r="U7" s="950" t="s">
        <v>118</v>
      </c>
      <c r="V7" s="951"/>
      <c r="W7" s="389"/>
      <c r="X7" s="389"/>
    </row>
    <row r="8" spans="1:24" s="420" customFormat="1" x14ac:dyDescent="0.2">
      <c r="A8" s="404"/>
      <c r="B8" s="399"/>
      <c r="C8" s="405"/>
      <c r="D8" s="406"/>
      <c r="E8" s="407"/>
      <c r="F8" s="408"/>
      <c r="G8" s="409"/>
      <c r="H8" s="410"/>
      <c r="I8" s="410"/>
      <c r="J8" s="410"/>
      <c r="K8" s="410"/>
      <c r="L8" s="411"/>
      <c r="M8" s="412"/>
      <c r="N8" s="413"/>
      <c r="O8" s="414"/>
      <c r="P8" s="415"/>
      <c r="Q8" s="416"/>
      <c r="R8" s="415"/>
      <c r="S8" s="415"/>
      <c r="T8" s="417"/>
      <c r="U8" s="418"/>
      <c r="V8" s="418"/>
      <c r="W8" s="419"/>
    </row>
    <row r="9" spans="1:24" s="431" customFormat="1" ht="13.2" customHeight="1" x14ac:dyDescent="0.2">
      <c r="A9" s="421"/>
      <c r="B9" s="389"/>
      <c r="C9" s="422"/>
      <c r="D9" s="957" t="s">
        <v>119</v>
      </c>
      <c r="E9" s="958"/>
      <c r="F9" s="959"/>
      <c r="G9" s="423"/>
      <c r="H9" s="960" t="s">
        <v>120</v>
      </c>
      <c r="I9" s="961"/>
      <c r="J9" s="961"/>
      <c r="K9" s="962"/>
      <c r="L9" s="633"/>
      <c r="M9" s="425"/>
      <c r="N9" s="413" t="s">
        <v>121</v>
      </c>
      <c r="O9" s="414"/>
      <c r="P9" s="415"/>
      <c r="Q9" s="416"/>
      <c r="R9" s="426"/>
      <c r="S9" s="426"/>
      <c r="T9" s="417"/>
      <c r="U9" s="427"/>
      <c r="V9" s="428"/>
      <c r="W9" s="429"/>
      <c r="X9" s="430"/>
    </row>
    <row r="10" spans="1:24" s="431" customFormat="1" x14ac:dyDescent="0.2">
      <c r="A10" s="432" t="s">
        <v>122</v>
      </c>
      <c r="B10" s="433" t="s">
        <v>51</v>
      </c>
      <c r="C10" s="434" t="s">
        <v>123</v>
      </c>
      <c r="D10" s="435" t="s">
        <v>124</v>
      </c>
      <c r="E10" s="436" t="s">
        <v>125</v>
      </c>
      <c r="F10" s="437" t="s">
        <v>126</v>
      </c>
      <c r="G10" s="423" t="s">
        <v>127</v>
      </c>
      <c r="H10" s="634" t="s">
        <v>128</v>
      </c>
      <c r="I10" s="634" t="s">
        <v>129</v>
      </c>
      <c r="J10" s="634" t="s">
        <v>130</v>
      </c>
      <c r="K10" s="634" t="s">
        <v>131</v>
      </c>
      <c r="L10" s="633" t="s">
        <v>132</v>
      </c>
      <c r="M10" s="439" t="s">
        <v>133</v>
      </c>
      <c r="N10" s="440" t="s">
        <v>134</v>
      </c>
      <c r="O10" s="441" t="s">
        <v>135</v>
      </c>
      <c r="P10" s="442" t="s">
        <v>136</v>
      </c>
      <c r="Q10" s="416" t="s">
        <v>137</v>
      </c>
      <c r="R10" s="442" t="s">
        <v>137</v>
      </c>
      <c r="S10" s="442" t="s">
        <v>136</v>
      </c>
      <c r="T10" s="443" t="s">
        <v>138</v>
      </c>
      <c r="U10" s="427" t="s">
        <v>139</v>
      </c>
      <c r="V10" s="427" t="s">
        <v>140</v>
      </c>
      <c r="W10" s="444"/>
    </row>
    <row r="11" spans="1:24" s="431" customFormat="1" ht="12" thickBot="1" x14ac:dyDescent="0.25">
      <c r="A11" s="445" t="s">
        <v>141</v>
      </c>
      <c r="B11" s="446" t="s">
        <v>141</v>
      </c>
      <c r="C11" s="447" t="s">
        <v>142</v>
      </c>
      <c r="D11" s="448" t="s">
        <v>143</v>
      </c>
      <c r="E11" s="449" t="s">
        <v>143</v>
      </c>
      <c r="F11" s="450" t="s">
        <v>143</v>
      </c>
      <c r="G11" s="451" t="s">
        <v>143</v>
      </c>
      <c r="H11" s="452" t="s">
        <v>143</v>
      </c>
      <c r="I11" s="452" t="s">
        <v>143</v>
      </c>
      <c r="J11" s="452" t="s">
        <v>143</v>
      </c>
      <c r="K11" s="452" t="s">
        <v>143</v>
      </c>
      <c r="L11" s="453" t="s">
        <v>143</v>
      </c>
      <c r="M11" s="454" t="s">
        <v>144</v>
      </c>
      <c r="N11" s="455" t="s">
        <v>142</v>
      </c>
      <c r="O11" s="456" t="s">
        <v>142</v>
      </c>
      <c r="P11" s="457" t="s">
        <v>145</v>
      </c>
      <c r="Q11" s="458" t="s">
        <v>146</v>
      </c>
      <c r="R11" s="459" t="s">
        <v>36</v>
      </c>
      <c r="S11" s="459" t="s">
        <v>147</v>
      </c>
      <c r="T11" s="460"/>
      <c r="U11" s="461"/>
      <c r="V11" s="462" t="s">
        <v>143</v>
      </c>
      <c r="W11" s="444"/>
    </row>
    <row r="12" spans="1:2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71">
        <v>1000</v>
      </c>
      <c r="N12" s="472"/>
      <c r="O12" s="473"/>
      <c r="P12" s="474"/>
      <c r="Q12" s="475"/>
      <c r="R12" s="476"/>
      <c r="S12" s="477"/>
      <c r="T12" s="478"/>
      <c r="U12" s="479" t="s">
        <v>161</v>
      </c>
      <c r="V12" s="480">
        <v>717</v>
      </c>
      <c r="W12" s="481"/>
    </row>
    <row r="13" spans="1:24" s="431" customFormat="1" x14ac:dyDescent="0.3">
      <c r="A13" s="482">
        <v>250</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(C13+C14-10)/2</f>
        <v>10</v>
      </c>
      <c r="P13" s="491">
        <f>(A13-B13)/M13</f>
        <v>0.25</v>
      </c>
      <c r="Q13" s="492">
        <f>(P13*(O13-N13))/100</f>
        <v>2.5000000000000001E-2</v>
      </c>
      <c r="R13" s="493">
        <f>SUM(Q$13:Q13)</f>
        <v>2.5000000000000001E-2</v>
      </c>
      <c r="S13" s="494">
        <f>R13/O13*100</f>
        <v>0.25</v>
      </c>
      <c r="T13" s="495"/>
      <c r="U13" s="496"/>
      <c r="V13" s="497"/>
      <c r="W13" s="444"/>
    </row>
    <row r="14" spans="1:24" s="431" customFormat="1" x14ac:dyDescent="0.3">
      <c r="A14" s="482">
        <v>280</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 t="shared" ref="N14:N20" si="0">C13</f>
        <v>10</v>
      </c>
      <c r="O14" s="490">
        <f t="shared" ref="O14:O20" si="1">(C14+C15-10)/2</f>
        <v>20</v>
      </c>
      <c r="P14" s="491">
        <f t="shared" ref="P14:P20" si="2">(A14-B14)/M14</f>
        <v>0.28000000000000003</v>
      </c>
      <c r="Q14" s="492">
        <f t="shared" ref="Q14:Q20" si="3">(P14*(O14-N14))/100</f>
        <v>2.8000000000000004E-2</v>
      </c>
      <c r="R14" s="493">
        <f>SUM(Q$13:Q14)</f>
        <v>5.3000000000000005E-2</v>
      </c>
      <c r="S14" s="494">
        <f t="shared" ref="S14:S20" si="4">R14/O14*100</f>
        <v>0.26500000000000007</v>
      </c>
      <c r="T14" s="495"/>
      <c r="U14" s="496"/>
      <c r="V14" s="497"/>
      <c r="W14" s="444"/>
    </row>
    <row r="15" spans="1:24" s="431" customFormat="1" x14ac:dyDescent="0.3">
      <c r="A15" s="482">
        <v>285</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 t="shared" si="0"/>
        <v>20</v>
      </c>
      <c r="O15" s="490">
        <f t="shared" si="1"/>
        <v>30</v>
      </c>
      <c r="P15" s="491">
        <f t="shared" si="2"/>
        <v>0.28499999999999998</v>
      </c>
      <c r="Q15" s="492">
        <f t="shared" si="3"/>
        <v>2.8499999999999998E-2</v>
      </c>
      <c r="R15" s="493">
        <f>SUM(Q$13:Q15)</f>
        <v>8.1500000000000003E-2</v>
      </c>
      <c r="S15" s="494">
        <f t="shared" si="4"/>
        <v>0.27166666666666667</v>
      </c>
      <c r="T15" s="495"/>
      <c r="U15" s="496"/>
      <c r="V15" s="497"/>
      <c r="W15" s="444"/>
    </row>
    <row r="16" spans="1:24" s="431" customFormat="1" x14ac:dyDescent="0.3">
      <c r="A16" s="482">
        <v>280</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 t="shared" si="0"/>
        <v>30</v>
      </c>
      <c r="O16" s="490">
        <f t="shared" si="1"/>
        <v>40</v>
      </c>
      <c r="P16" s="491">
        <f t="shared" si="2"/>
        <v>0.28000000000000003</v>
      </c>
      <c r="Q16" s="492">
        <f t="shared" si="3"/>
        <v>2.8000000000000004E-2</v>
      </c>
      <c r="R16" s="493">
        <f>SUM(Q$13:Q16)</f>
        <v>0.10950000000000001</v>
      </c>
      <c r="S16" s="494">
        <f t="shared" si="4"/>
        <v>0.27375000000000005</v>
      </c>
      <c r="T16" s="495"/>
      <c r="U16" s="496"/>
      <c r="V16" s="497"/>
      <c r="W16" s="444"/>
    </row>
    <row r="17" spans="1:25" s="431" customFormat="1" x14ac:dyDescent="0.3">
      <c r="A17" s="482">
        <v>280</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 t="shared" si="0"/>
        <v>40</v>
      </c>
      <c r="O17" s="490">
        <f t="shared" si="1"/>
        <v>50</v>
      </c>
      <c r="P17" s="491">
        <f t="shared" si="2"/>
        <v>0.28000000000000003</v>
      </c>
      <c r="Q17" s="492">
        <f t="shared" si="3"/>
        <v>2.8000000000000004E-2</v>
      </c>
      <c r="R17" s="493">
        <f>SUM(Q$13:Q17)</f>
        <v>0.13750000000000001</v>
      </c>
      <c r="S17" s="494">
        <f t="shared" si="4"/>
        <v>0.27500000000000002</v>
      </c>
      <c r="T17" s="495"/>
      <c r="U17" s="496"/>
      <c r="V17" s="497"/>
      <c r="W17" s="444"/>
    </row>
    <row r="18" spans="1:25" s="431" customFormat="1" ht="10.95" customHeight="1" x14ac:dyDescent="0.3">
      <c r="A18" s="482">
        <v>295</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 t="shared" si="0"/>
        <v>50</v>
      </c>
      <c r="O18" s="490">
        <f t="shared" si="1"/>
        <v>60</v>
      </c>
      <c r="P18" s="491">
        <f t="shared" si="2"/>
        <v>0.29499999999999998</v>
      </c>
      <c r="Q18" s="492">
        <f t="shared" si="3"/>
        <v>2.9499999999999998E-2</v>
      </c>
      <c r="R18" s="493">
        <f>SUM(Q$13:Q18)</f>
        <v>0.16700000000000001</v>
      </c>
      <c r="S18" s="494">
        <f t="shared" si="4"/>
        <v>0.27833333333333332</v>
      </c>
      <c r="T18" s="495" t="s">
        <v>251</v>
      </c>
      <c r="U18" s="496"/>
      <c r="V18" s="498"/>
      <c r="W18" s="444"/>
    </row>
    <row r="19" spans="1:25" s="431" customFormat="1" x14ac:dyDescent="0.3">
      <c r="A19" s="499">
        <v>300</v>
      </c>
      <c r="B19" s="483">
        <v>0</v>
      </c>
      <c r="C19" s="471">
        <v>70</v>
      </c>
      <c r="D19" s="484" t="s">
        <v>149</v>
      </c>
      <c r="E19" s="485" t="s">
        <v>149</v>
      </c>
      <c r="F19" s="486" t="s">
        <v>149</v>
      </c>
      <c r="G19" s="487" t="s">
        <v>149</v>
      </c>
      <c r="H19" s="485" t="s">
        <v>149</v>
      </c>
      <c r="I19" s="485" t="s">
        <v>149</v>
      </c>
      <c r="J19" s="485" t="s">
        <v>149</v>
      </c>
      <c r="K19" s="485" t="s">
        <v>149</v>
      </c>
      <c r="L19" s="488" t="s">
        <v>149</v>
      </c>
      <c r="M19" s="471">
        <v>1000</v>
      </c>
      <c r="N19" s="489">
        <f t="shared" si="0"/>
        <v>60</v>
      </c>
      <c r="O19" s="490">
        <f t="shared" si="1"/>
        <v>70</v>
      </c>
      <c r="P19" s="491">
        <f t="shared" si="2"/>
        <v>0.3</v>
      </c>
      <c r="Q19" s="492">
        <f t="shared" si="3"/>
        <v>0.03</v>
      </c>
      <c r="R19" s="493">
        <f>SUM(Q$13:Q19)</f>
        <v>0.19700000000000001</v>
      </c>
      <c r="S19" s="494">
        <f t="shared" si="4"/>
        <v>0.28142857142857147</v>
      </c>
      <c r="T19" s="495"/>
      <c r="U19" s="496"/>
      <c r="V19" s="497"/>
      <c r="W19" s="444"/>
    </row>
    <row r="20" spans="1:25" s="431" customFormat="1" x14ac:dyDescent="0.3">
      <c r="A20" s="499">
        <v>320</v>
      </c>
      <c r="B20" s="483">
        <v>0</v>
      </c>
      <c r="C20" s="471">
        <v>80</v>
      </c>
      <c r="D20" s="484" t="s">
        <v>149</v>
      </c>
      <c r="E20" s="485" t="s">
        <v>149</v>
      </c>
      <c r="F20" s="486" t="s">
        <v>149</v>
      </c>
      <c r="G20" s="487" t="s">
        <v>149</v>
      </c>
      <c r="H20" s="485" t="s">
        <v>149</v>
      </c>
      <c r="I20" s="485" t="s">
        <v>149</v>
      </c>
      <c r="J20" s="485" t="s">
        <v>149</v>
      </c>
      <c r="K20" s="485" t="s">
        <v>149</v>
      </c>
      <c r="L20" s="488" t="s">
        <v>149</v>
      </c>
      <c r="M20" s="471">
        <v>1000</v>
      </c>
      <c r="N20" s="489">
        <f t="shared" si="0"/>
        <v>70</v>
      </c>
      <c r="O20" s="490">
        <f t="shared" si="1"/>
        <v>80</v>
      </c>
      <c r="P20" s="491">
        <f t="shared" si="2"/>
        <v>0.32</v>
      </c>
      <c r="Q20" s="492">
        <f t="shared" si="3"/>
        <v>3.2000000000000001E-2</v>
      </c>
      <c r="R20" s="493">
        <f>SUM(Q$13:Q20)</f>
        <v>0.22900000000000001</v>
      </c>
      <c r="S20" s="494">
        <f t="shared" si="4"/>
        <v>0.28625</v>
      </c>
      <c r="T20" s="495"/>
      <c r="U20" s="496"/>
      <c r="V20" s="497"/>
      <c r="W20" s="444"/>
    </row>
    <row r="21" spans="1:25" s="431" customFormat="1" x14ac:dyDescent="0.3">
      <c r="A21" s="499">
        <v>315</v>
      </c>
      <c r="B21" s="483">
        <v>0</v>
      </c>
      <c r="C21" s="471">
        <v>90</v>
      </c>
      <c r="D21" s="484" t="s">
        <v>149</v>
      </c>
      <c r="E21" s="485" t="s">
        <v>149</v>
      </c>
      <c r="F21" s="486" t="s">
        <v>149</v>
      </c>
      <c r="G21" s="487" t="s">
        <v>149</v>
      </c>
      <c r="H21" s="485" t="s">
        <v>149</v>
      </c>
      <c r="I21" s="485" t="s">
        <v>149</v>
      </c>
      <c r="J21" s="485" t="s">
        <v>149</v>
      </c>
      <c r="K21" s="485" t="s">
        <v>149</v>
      </c>
      <c r="L21" s="488" t="s">
        <v>149</v>
      </c>
      <c r="M21" s="471">
        <v>1000</v>
      </c>
      <c r="N21" s="489">
        <f>(C19+C21-10)/2</f>
        <v>75</v>
      </c>
      <c r="O21" s="490">
        <f>(C21+C24-G24)/2</f>
        <v>93</v>
      </c>
      <c r="P21" s="491">
        <f>(A21-B21)/M21</f>
        <v>0.315</v>
      </c>
      <c r="Q21" s="492">
        <f>(P21*(O21-N21))/100</f>
        <v>5.67E-2</v>
      </c>
      <c r="R21" s="493">
        <f>SUM(Q$13:Q21)</f>
        <v>0.28570000000000001</v>
      </c>
      <c r="S21" s="494">
        <f>R21/O21*100</f>
        <v>0.3072043010752688</v>
      </c>
      <c r="T21" s="495" t="s">
        <v>151</v>
      </c>
      <c r="U21" s="496"/>
      <c r="V21" s="497"/>
      <c r="W21" s="429"/>
    </row>
    <row r="22" spans="1:25" s="504" customFormat="1" ht="10.8" thickBot="1" x14ac:dyDescent="0.35">
      <c r="A22" s="507"/>
      <c r="B22" s="508"/>
      <c r="C22" s="509"/>
      <c r="D22" s="510"/>
      <c r="E22" s="509"/>
      <c r="F22" s="511"/>
      <c r="G22" s="512"/>
      <c r="H22" s="509"/>
      <c r="I22" s="509"/>
      <c r="J22" s="509"/>
      <c r="K22" s="509"/>
      <c r="L22" s="513"/>
      <c r="M22" s="509"/>
      <c r="N22" s="514"/>
      <c r="O22" s="515"/>
      <c r="P22" s="516"/>
      <c r="Q22" s="517"/>
      <c r="R22" s="518"/>
      <c r="S22" s="519"/>
      <c r="T22" s="520"/>
      <c r="U22" s="496"/>
      <c r="V22" s="521"/>
      <c r="W22" s="522"/>
    </row>
    <row r="23" spans="1:25" s="504" customFormat="1" x14ac:dyDescent="0.3">
      <c r="A23" s="523" t="s">
        <v>152</v>
      </c>
      <c r="B23" s="483"/>
      <c r="C23" s="471"/>
      <c r="D23" s="524"/>
      <c r="E23" s="471"/>
      <c r="F23" s="525"/>
      <c r="G23" s="526"/>
      <c r="H23" s="471"/>
      <c r="I23" s="471"/>
      <c r="J23" s="471"/>
      <c r="K23" s="471"/>
      <c r="L23" s="527"/>
      <c r="M23" s="471"/>
      <c r="N23" s="489"/>
      <c r="O23" s="490"/>
      <c r="P23" s="491"/>
      <c r="Q23" s="492"/>
      <c r="R23" s="493"/>
      <c r="S23" s="494"/>
      <c r="T23" s="505"/>
      <c r="U23" s="496"/>
      <c r="V23" s="521"/>
      <c r="W23" s="522"/>
    </row>
    <row r="24" spans="1:25" s="504" customFormat="1" x14ac:dyDescent="0.3">
      <c r="A24" s="499">
        <v>910</v>
      </c>
      <c r="B24" s="483">
        <v>0</v>
      </c>
      <c r="C24" s="471">
        <v>189</v>
      </c>
      <c r="D24" s="528">
        <v>93</v>
      </c>
      <c r="E24" s="529"/>
      <c r="F24" s="530"/>
      <c r="G24" s="531">
        <f t="shared" ref="G24" si="5">AVERAGE(D24:F24)</f>
        <v>93</v>
      </c>
      <c r="H24" s="529">
        <v>5.7</v>
      </c>
      <c r="I24" s="529"/>
      <c r="J24" s="529"/>
      <c r="K24" s="529"/>
      <c r="L24" s="532">
        <f t="shared" ref="L24" si="6">AVERAGE(H24:K24)</f>
        <v>5.7</v>
      </c>
      <c r="M24" s="471">
        <f>G24*    PI()* (L24/2)^2</f>
        <v>2373.1355285768277</v>
      </c>
      <c r="N24" s="489">
        <f>(C21+C24-G24)/2</f>
        <v>93</v>
      </c>
      <c r="O24" s="490">
        <f t="shared" ref="O24:O29" si="7">(C24+C25-G25)/2</f>
        <v>188.75</v>
      </c>
      <c r="P24" s="491">
        <f>(A24-B24)/M24</f>
        <v>0.38345892556154521</v>
      </c>
      <c r="Q24" s="492">
        <f t="shared" ref="Q24:Q29" si="8">(P24*(O24-N24))/100</f>
        <v>0.36716192122517954</v>
      </c>
      <c r="R24" s="493">
        <f>SUM(Q$13:Q24)</f>
        <v>0.65286192122517961</v>
      </c>
      <c r="S24" s="494">
        <f t="shared" ref="S24:S29" si="9">R24/O24*100</f>
        <v>0.34588711058287658</v>
      </c>
      <c r="T24" s="505"/>
      <c r="U24" s="496"/>
      <c r="V24" s="521"/>
      <c r="W24" s="522"/>
    </row>
    <row r="25" spans="1:25" s="504" customFormat="1" x14ac:dyDescent="0.3">
      <c r="A25" s="499">
        <v>820</v>
      </c>
      <c r="B25" s="483">
        <v>0</v>
      </c>
      <c r="C25" s="471">
        <v>266</v>
      </c>
      <c r="D25" s="528">
        <v>77.5</v>
      </c>
      <c r="E25" s="529"/>
      <c r="F25" s="530"/>
      <c r="G25" s="531">
        <f t="shared" ref="G25:G37" si="10">AVERAGE(D25:F25)</f>
        <v>77.5</v>
      </c>
      <c r="H25" s="529">
        <v>5.7</v>
      </c>
      <c r="I25" s="529"/>
      <c r="J25" s="529"/>
      <c r="K25" s="529"/>
      <c r="L25" s="532">
        <f t="shared" ref="L25:L37" si="11">AVERAGE(H25:K25)</f>
        <v>5.7</v>
      </c>
      <c r="M25" s="471">
        <f t="shared" ref="M25:M29" si="12">G25*    PI()* (L25/2)^2</f>
        <v>1977.61294048069</v>
      </c>
      <c r="N25" s="489">
        <f>(C24+C25-G25)/2</f>
        <v>188.75</v>
      </c>
      <c r="O25" s="490">
        <f>(C25+C26-G26)/2</f>
        <v>266</v>
      </c>
      <c r="P25" s="491">
        <f>(A25-B25)/M25</f>
        <v>0.41464129972808839</v>
      </c>
      <c r="Q25" s="492">
        <f t="shared" si="8"/>
        <v>0.32031040403994832</v>
      </c>
      <c r="R25" s="493">
        <f>SUM(Q$13:Q25)</f>
        <v>0.97317232526512787</v>
      </c>
      <c r="S25" s="494">
        <f t="shared" si="9"/>
        <v>0.36585425761846913</v>
      </c>
      <c r="T25" s="505"/>
      <c r="U25" s="496"/>
      <c r="V25" s="497"/>
      <c r="W25" s="522"/>
    </row>
    <row r="26" spans="1:25" s="504" customFormat="1" x14ac:dyDescent="0.3">
      <c r="A26" s="499">
        <v>900</v>
      </c>
      <c r="B26" s="483">
        <v>0</v>
      </c>
      <c r="C26" s="471">
        <v>343</v>
      </c>
      <c r="D26" s="528">
        <v>77</v>
      </c>
      <c r="E26" s="529"/>
      <c r="F26" s="530"/>
      <c r="G26" s="531">
        <f t="shared" si="10"/>
        <v>77</v>
      </c>
      <c r="H26" s="529">
        <v>5.7</v>
      </c>
      <c r="I26" s="529"/>
      <c r="J26" s="529"/>
      <c r="K26" s="529"/>
      <c r="L26" s="532">
        <f t="shared" si="11"/>
        <v>5.7</v>
      </c>
      <c r="M26" s="471">
        <f t="shared" si="12"/>
        <v>1964.8541473162984</v>
      </c>
      <c r="N26" s="489">
        <f t="shared" ref="N26:N29" si="13">(C25+C26-G26)/2</f>
        <v>266</v>
      </c>
      <c r="O26" s="490">
        <f t="shared" si="7"/>
        <v>342</v>
      </c>
      <c r="P26" s="491">
        <f t="shared" ref="P26:P29" si="14">(A26-B26)/M26</f>
        <v>0.45804926601257784</v>
      </c>
      <c r="Q26" s="492">
        <f t="shared" si="8"/>
        <v>0.34811744216955914</v>
      </c>
      <c r="R26" s="493">
        <f>SUM(Q$13:Q26)</f>
        <v>1.3212897674346871</v>
      </c>
      <c r="S26" s="494">
        <f t="shared" si="9"/>
        <v>0.38634203726160443</v>
      </c>
      <c r="T26" s="505"/>
      <c r="U26" s="496"/>
      <c r="V26" s="497"/>
      <c r="W26" s="522"/>
    </row>
    <row r="27" spans="1:25" s="504" customFormat="1" x14ac:dyDescent="0.3">
      <c r="A27" s="499">
        <v>990</v>
      </c>
      <c r="B27" s="483">
        <v>0</v>
      </c>
      <c r="C27" s="471">
        <v>421</v>
      </c>
      <c r="D27" s="528">
        <v>80</v>
      </c>
      <c r="E27" s="529"/>
      <c r="F27" s="530"/>
      <c r="G27" s="531">
        <f t="shared" si="10"/>
        <v>80</v>
      </c>
      <c r="H27" s="529">
        <v>5.7</v>
      </c>
      <c r="I27" s="529"/>
      <c r="J27" s="529"/>
      <c r="K27" s="529"/>
      <c r="L27" s="532">
        <f t="shared" si="11"/>
        <v>5.7</v>
      </c>
      <c r="M27" s="471">
        <f t="shared" si="12"/>
        <v>2041.4069063026477</v>
      </c>
      <c r="N27" s="489">
        <f t="shared" si="13"/>
        <v>342</v>
      </c>
      <c r="O27" s="490">
        <f t="shared" si="7"/>
        <v>420</v>
      </c>
      <c r="P27" s="491">
        <f t="shared" si="14"/>
        <v>0.48495966039081678</v>
      </c>
      <c r="Q27" s="492">
        <f t="shared" si="8"/>
        <v>0.3782685351048371</v>
      </c>
      <c r="R27" s="493">
        <f>SUM(Q$13:Q27)</f>
        <v>1.6995583025395242</v>
      </c>
      <c r="S27" s="494">
        <f t="shared" si="9"/>
        <v>0.40465673869988672</v>
      </c>
      <c r="T27" s="505"/>
      <c r="U27" s="496"/>
      <c r="V27" s="497"/>
      <c r="W27" s="522"/>
    </row>
    <row r="28" spans="1:25" x14ac:dyDescent="0.2">
      <c r="A28" s="499">
        <v>430</v>
      </c>
      <c r="B28" s="483">
        <v>0</v>
      </c>
      <c r="C28" s="471">
        <f>C29-D29</f>
        <v>452.5</v>
      </c>
      <c r="D28" s="528">
        <v>33.5</v>
      </c>
      <c r="E28" s="529"/>
      <c r="F28" s="530"/>
      <c r="G28" s="531">
        <f t="shared" si="10"/>
        <v>33.5</v>
      </c>
      <c r="H28" s="529">
        <v>5.7</v>
      </c>
      <c r="I28" s="529"/>
      <c r="J28" s="529"/>
      <c r="K28" s="529"/>
      <c r="L28" s="532">
        <f t="shared" si="11"/>
        <v>5.7</v>
      </c>
      <c r="M28" s="471">
        <f t="shared" si="12"/>
        <v>854.83914201423374</v>
      </c>
      <c r="N28" s="489">
        <f t="shared" si="13"/>
        <v>420</v>
      </c>
      <c r="O28" s="490">
        <f t="shared" si="7"/>
        <v>452.5</v>
      </c>
      <c r="P28" s="491">
        <f t="shared" si="14"/>
        <v>0.50301861352160704</v>
      </c>
      <c r="Q28" s="492">
        <f t="shared" si="8"/>
        <v>0.16348104939452227</v>
      </c>
      <c r="R28" s="493">
        <f>SUM(Q$13:Q28)</f>
        <v>1.8630393519340465</v>
      </c>
      <c r="S28" s="494">
        <f t="shared" si="9"/>
        <v>0.41172140374233068</v>
      </c>
      <c r="T28" s="505"/>
      <c r="U28" s="496"/>
      <c r="V28" s="497"/>
      <c r="W28" s="522"/>
      <c r="X28" s="504"/>
      <c r="Y28" s="504"/>
    </row>
    <row r="29" spans="1:25" x14ac:dyDescent="0.2">
      <c r="A29" s="499">
        <v>695</v>
      </c>
      <c r="B29" s="483">
        <v>0</v>
      </c>
      <c r="C29" s="471">
        <v>505</v>
      </c>
      <c r="D29" s="528">
        <v>52.5</v>
      </c>
      <c r="E29" s="529"/>
      <c r="F29" s="530"/>
      <c r="G29" s="531">
        <f t="shared" si="10"/>
        <v>52.5</v>
      </c>
      <c r="H29" s="529">
        <v>5.7</v>
      </c>
      <c r="I29" s="529"/>
      <c r="J29" s="529"/>
      <c r="K29" s="529"/>
      <c r="L29" s="532">
        <f t="shared" si="11"/>
        <v>5.7</v>
      </c>
      <c r="M29" s="471">
        <f t="shared" si="12"/>
        <v>1339.6732822611127</v>
      </c>
      <c r="N29" s="489">
        <f t="shared" si="13"/>
        <v>452.5</v>
      </c>
      <c r="O29" s="490">
        <f t="shared" si="7"/>
        <v>505</v>
      </c>
      <c r="P29" s="491">
        <f t="shared" si="14"/>
        <v>0.5187832057283196</v>
      </c>
      <c r="Q29" s="492">
        <f t="shared" si="8"/>
        <v>0.27236118300736778</v>
      </c>
      <c r="R29" s="493">
        <f>SUM(Q$13:Q29)</f>
        <v>2.1354005349414145</v>
      </c>
      <c r="S29" s="494">
        <f t="shared" si="9"/>
        <v>0.4228515910775078</v>
      </c>
      <c r="T29" s="505"/>
      <c r="U29" s="496"/>
      <c r="V29" s="497"/>
      <c r="W29" s="522"/>
      <c r="X29" s="504"/>
      <c r="Y29" s="504"/>
    </row>
    <row r="30" spans="1:25" x14ac:dyDescent="0.2">
      <c r="A30" s="499">
        <v>660</v>
      </c>
      <c r="B30" s="483">
        <v>0</v>
      </c>
      <c r="C30" s="471">
        <f>C31-D31</f>
        <v>555</v>
      </c>
      <c r="D30" s="528">
        <v>50</v>
      </c>
      <c r="E30" s="529"/>
      <c r="F30" s="530"/>
      <c r="G30" s="531">
        <f t="shared" si="10"/>
        <v>50</v>
      </c>
      <c r="H30" s="529">
        <v>5.7</v>
      </c>
      <c r="I30" s="529"/>
      <c r="J30" s="529"/>
      <c r="K30" s="529"/>
      <c r="L30" s="532">
        <f t="shared" si="11"/>
        <v>5.7</v>
      </c>
      <c r="M30" s="471">
        <f t="shared" ref="M30:M37" si="15">G30*    PI()* (L30/2)^2</f>
        <v>1275.8793164391548</v>
      </c>
      <c r="N30" s="489">
        <f t="shared" ref="N30:N37" si="16">(C29+C30-G30)/2</f>
        <v>505</v>
      </c>
      <c r="O30" s="490">
        <f t="shared" ref="O30:O36" si="17">(C30+C31-G31)/2</f>
        <v>555</v>
      </c>
      <c r="P30" s="491">
        <f t="shared" ref="P30:P37" si="18">(A30-B30)/M30</f>
        <v>0.51729030441687129</v>
      </c>
      <c r="Q30" s="492">
        <f t="shared" ref="Q30:Q37" si="19">(P30*(O30-N30))/100</f>
        <v>0.25864515220843565</v>
      </c>
      <c r="R30" s="493">
        <f>SUM(Q$13:Q30)</f>
        <v>2.3940456871498501</v>
      </c>
      <c r="S30" s="494">
        <f t="shared" ref="S30:S37" si="20">R30/O30*100</f>
        <v>0.43135958327024332</v>
      </c>
      <c r="T30" s="505"/>
      <c r="U30" s="496"/>
      <c r="V30" s="497"/>
      <c r="W30" s="522"/>
      <c r="X30" s="504"/>
      <c r="Y30" s="504"/>
    </row>
    <row r="31" spans="1:25" x14ac:dyDescent="0.2">
      <c r="A31" s="499">
        <v>380</v>
      </c>
      <c r="B31" s="483">
        <v>0</v>
      </c>
      <c r="C31" s="471">
        <v>583</v>
      </c>
      <c r="D31" s="528">
        <v>28</v>
      </c>
      <c r="E31" s="529"/>
      <c r="F31" s="530"/>
      <c r="G31" s="531">
        <f t="shared" si="10"/>
        <v>28</v>
      </c>
      <c r="H31" s="529">
        <v>5.7</v>
      </c>
      <c r="I31" s="529"/>
      <c r="J31" s="529"/>
      <c r="K31" s="529"/>
      <c r="L31" s="532">
        <f t="shared" si="11"/>
        <v>5.7</v>
      </c>
      <c r="M31" s="471">
        <f t="shared" si="15"/>
        <v>714.4924172059267</v>
      </c>
      <c r="N31" s="489">
        <f t="shared" si="16"/>
        <v>555</v>
      </c>
      <c r="O31" s="490">
        <f t="shared" si="17"/>
        <v>583.5</v>
      </c>
      <c r="P31" s="491">
        <f t="shared" si="18"/>
        <v>0.53184609220349321</v>
      </c>
      <c r="Q31" s="492">
        <f t="shared" si="19"/>
        <v>0.15157613627799557</v>
      </c>
      <c r="R31" s="493">
        <f>SUM(Q$13:Q31)</f>
        <v>2.5456218234278456</v>
      </c>
      <c r="S31" s="494">
        <f t="shared" si="20"/>
        <v>0.43626766468343536</v>
      </c>
      <c r="T31" s="505" t="s">
        <v>252</v>
      </c>
      <c r="U31" s="496"/>
      <c r="V31" s="497"/>
      <c r="W31" s="522"/>
      <c r="X31" s="504"/>
      <c r="Y31" s="504"/>
    </row>
    <row r="32" spans="1:25" x14ac:dyDescent="0.2">
      <c r="A32" s="499">
        <v>505</v>
      </c>
      <c r="B32" s="483">
        <v>0</v>
      </c>
      <c r="C32" s="471">
        <f>C33-D33</f>
        <v>620</v>
      </c>
      <c r="D32" s="528">
        <v>36</v>
      </c>
      <c r="E32" s="529"/>
      <c r="F32" s="530"/>
      <c r="G32" s="531">
        <f t="shared" si="10"/>
        <v>36</v>
      </c>
      <c r="H32" s="529">
        <v>5.7</v>
      </c>
      <c r="I32" s="529"/>
      <c r="J32" s="529"/>
      <c r="K32" s="529"/>
      <c r="L32" s="532">
        <f t="shared" si="11"/>
        <v>5.7</v>
      </c>
      <c r="M32" s="471">
        <f t="shared" si="15"/>
        <v>918.63310783619147</v>
      </c>
      <c r="N32" s="489">
        <f t="shared" si="16"/>
        <v>583.5</v>
      </c>
      <c r="O32" s="490">
        <f t="shared" si="17"/>
        <v>620</v>
      </c>
      <c r="P32" s="491">
        <f t="shared" si="18"/>
        <v>0.5497298058302188</v>
      </c>
      <c r="Q32" s="492">
        <f t="shared" si="19"/>
        <v>0.20065137912802986</v>
      </c>
      <c r="R32" s="493">
        <f>SUM(Q$13:Q32)</f>
        <v>2.7462732025558756</v>
      </c>
      <c r="S32" s="494">
        <f t="shared" si="20"/>
        <v>0.44294729073481864</v>
      </c>
      <c r="T32" s="505"/>
      <c r="U32" s="496"/>
      <c r="V32" s="497"/>
      <c r="W32" s="522"/>
      <c r="X32" s="504"/>
      <c r="Y32" s="504"/>
    </row>
    <row r="33" spans="1:26" x14ac:dyDescent="0.2">
      <c r="A33" s="499">
        <v>620</v>
      </c>
      <c r="B33" s="483">
        <v>0</v>
      </c>
      <c r="C33" s="471">
        <v>665</v>
      </c>
      <c r="D33" s="528">
        <v>45</v>
      </c>
      <c r="E33" s="529"/>
      <c r="F33" s="530"/>
      <c r="G33" s="531">
        <f t="shared" si="10"/>
        <v>45</v>
      </c>
      <c r="H33" s="529">
        <v>5.7</v>
      </c>
      <c r="I33" s="529"/>
      <c r="J33" s="529"/>
      <c r="K33" s="529"/>
      <c r="L33" s="532">
        <f t="shared" si="11"/>
        <v>5.7</v>
      </c>
      <c r="M33" s="471">
        <f t="shared" si="15"/>
        <v>1148.2913847952393</v>
      </c>
      <c r="N33" s="489">
        <f t="shared" si="16"/>
        <v>620</v>
      </c>
      <c r="O33" s="490">
        <f t="shared" si="17"/>
        <v>663.25</v>
      </c>
      <c r="P33" s="491">
        <f t="shared" si="18"/>
        <v>0.53993264097383864</v>
      </c>
      <c r="Q33" s="492">
        <f t="shared" si="19"/>
        <v>0.2335208672211852</v>
      </c>
      <c r="R33" s="493">
        <f>SUM(Q$13:Q33)</f>
        <v>2.9797940697770606</v>
      </c>
      <c r="S33" s="494">
        <f t="shared" si="20"/>
        <v>0.44927162755779276</v>
      </c>
      <c r="T33" s="505"/>
      <c r="U33" s="496"/>
      <c r="V33" s="497"/>
      <c r="W33" s="534"/>
    </row>
    <row r="34" spans="1:26" x14ac:dyDescent="0.2">
      <c r="A34" s="499">
        <v>775</v>
      </c>
      <c r="B34" s="483">
        <v>0</v>
      </c>
      <c r="C34" s="471">
        <f>C35-D35</f>
        <v>716.5</v>
      </c>
      <c r="D34" s="528">
        <v>55</v>
      </c>
      <c r="E34" s="529"/>
      <c r="F34" s="530"/>
      <c r="G34" s="531">
        <f t="shared" si="10"/>
        <v>55</v>
      </c>
      <c r="H34" s="529">
        <v>5.7</v>
      </c>
      <c r="I34" s="529"/>
      <c r="J34" s="529"/>
      <c r="K34" s="529"/>
      <c r="L34" s="532">
        <f t="shared" si="11"/>
        <v>5.7</v>
      </c>
      <c r="M34" s="471">
        <f t="shared" si="15"/>
        <v>1403.4672480830704</v>
      </c>
      <c r="N34" s="489">
        <f t="shared" si="16"/>
        <v>663.25</v>
      </c>
      <c r="O34" s="490">
        <f t="shared" si="17"/>
        <v>716.5</v>
      </c>
      <c r="P34" s="491">
        <f t="shared" si="18"/>
        <v>0.55220383735960765</v>
      </c>
      <c r="Q34" s="492">
        <f t="shared" si="19"/>
        <v>0.29404854339399106</v>
      </c>
      <c r="R34" s="493">
        <f>SUM(Q$13:Q34)</f>
        <v>3.2738426131710519</v>
      </c>
      <c r="S34" s="494">
        <f t="shared" si="20"/>
        <v>0.45692150916553409</v>
      </c>
      <c r="T34" s="505" t="s">
        <v>253</v>
      </c>
      <c r="U34" s="496"/>
      <c r="V34" s="497"/>
      <c r="W34" s="535"/>
      <c r="X34" s="536"/>
      <c r="Y34" s="537"/>
      <c r="Z34" s="536"/>
    </row>
    <row r="35" spans="1:26" x14ac:dyDescent="0.2">
      <c r="A35" s="499">
        <v>305</v>
      </c>
      <c r="B35" s="483">
        <v>0</v>
      </c>
      <c r="C35" s="471">
        <v>738</v>
      </c>
      <c r="D35" s="528">
        <v>21.5</v>
      </c>
      <c r="E35" s="529"/>
      <c r="F35" s="530"/>
      <c r="G35" s="531">
        <f t="shared" si="10"/>
        <v>21.5</v>
      </c>
      <c r="H35" s="529">
        <v>5.7</v>
      </c>
      <c r="I35" s="529"/>
      <c r="J35" s="529"/>
      <c r="K35" s="529"/>
      <c r="L35" s="532">
        <f t="shared" si="11"/>
        <v>5.7</v>
      </c>
      <c r="M35" s="471">
        <f t="shared" si="15"/>
        <v>548.62810606883659</v>
      </c>
      <c r="N35" s="489">
        <f t="shared" si="16"/>
        <v>716.5</v>
      </c>
      <c r="O35" s="490">
        <f t="shared" si="17"/>
        <v>739</v>
      </c>
      <c r="P35" s="491">
        <f t="shared" si="18"/>
        <v>0.55593214533877988</v>
      </c>
      <c r="Q35" s="492">
        <f t="shared" si="19"/>
        <v>0.12508473270122547</v>
      </c>
      <c r="R35" s="493">
        <f>SUM(Q$13:Q35)</f>
        <v>3.3989273458722775</v>
      </c>
      <c r="S35" s="494">
        <f t="shared" si="20"/>
        <v>0.45993604139002398</v>
      </c>
      <c r="T35" s="505" t="s">
        <v>254</v>
      </c>
      <c r="U35" s="496"/>
      <c r="V35" s="497"/>
      <c r="W35" s="535"/>
      <c r="X35" s="536"/>
      <c r="Y35" s="538"/>
      <c r="Z35" s="536"/>
    </row>
    <row r="36" spans="1:26" x14ac:dyDescent="0.2">
      <c r="A36" s="499">
        <v>610</v>
      </c>
      <c r="B36" s="483">
        <v>0</v>
      </c>
      <c r="C36" s="471">
        <f>C37-D37</f>
        <v>782</v>
      </c>
      <c r="D36" s="528">
        <v>42</v>
      </c>
      <c r="E36" s="529"/>
      <c r="F36" s="530"/>
      <c r="G36" s="531">
        <f t="shared" si="10"/>
        <v>42</v>
      </c>
      <c r="H36" s="529">
        <v>5.7</v>
      </c>
      <c r="I36" s="529"/>
      <c r="J36" s="529"/>
      <c r="K36" s="529"/>
      <c r="L36" s="532">
        <f t="shared" si="11"/>
        <v>5.7</v>
      </c>
      <c r="M36" s="471">
        <f t="shared" si="15"/>
        <v>1071.73862580889</v>
      </c>
      <c r="N36" s="489">
        <f t="shared" si="16"/>
        <v>739</v>
      </c>
      <c r="O36" s="490">
        <f t="shared" si="17"/>
        <v>782</v>
      </c>
      <c r="P36" s="491">
        <f t="shared" si="18"/>
        <v>0.56916862498970322</v>
      </c>
      <c r="Q36" s="492">
        <f t="shared" si="19"/>
        <v>0.24474250874557238</v>
      </c>
      <c r="R36" s="493">
        <f>SUM(Q$13:Q36)</f>
        <v>3.6436698546178499</v>
      </c>
      <c r="S36" s="494">
        <f t="shared" si="20"/>
        <v>0.46594243665189894</v>
      </c>
      <c r="T36" s="505"/>
      <c r="U36" s="496"/>
      <c r="V36" s="497"/>
      <c r="W36" s="539"/>
      <c r="X36" s="536"/>
      <c r="Y36" s="536"/>
      <c r="Z36" s="536"/>
    </row>
    <row r="37" spans="1:26" x14ac:dyDescent="0.2">
      <c r="A37" s="499">
        <v>400</v>
      </c>
      <c r="B37" s="483">
        <v>0</v>
      </c>
      <c r="C37" s="471">
        <v>814</v>
      </c>
      <c r="D37" s="528">
        <v>32</v>
      </c>
      <c r="E37" s="529"/>
      <c r="F37" s="530"/>
      <c r="G37" s="531">
        <f t="shared" si="10"/>
        <v>32</v>
      </c>
      <c r="H37" s="529">
        <v>5.7</v>
      </c>
      <c r="I37" s="529"/>
      <c r="J37" s="529"/>
      <c r="K37" s="529"/>
      <c r="L37" s="532">
        <f t="shared" si="11"/>
        <v>5.7</v>
      </c>
      <c r="M37" s="471">
        <f t="shared" si="15"/>
        <v>816.56276252105908</v>
      </c>
      <c r="N37" s="489">
        <f t="shared" si="16"/>
        <v>782</v>
      </c>
      <c r="O37" s="490">
        <f>C37</f>
        <v>814</v>
      </c>
      <c r="P37" s="491">
        <f t="shared" si="18"/>
        <v>0.48985824281900686</v>
      </c>
      <c r="Q37" s="492">
        <f t="shared" si="19"/>
        <v>0.1567546377020822</v>
      </c>
      <c r="R37" s="493">
        <f>SUM(Q$13:Q37)</f>
        <v>3.800424492319932</v>
      </c>
      <c r="S37" s="494">
        <f t="shared" si="20"/>
        <v>0.46688261576411944</v>
      </c>
      <c r="T37" s="505"/>
      <c r="U37" s="496"/>
      <c r="V37" s="497"/>
      <c r="W37" s="540"/>
      <c r="X37" s="541"/>
    </row>
    <row r="38" spans="1:26" x14ac:dyDescent="0.2">
      <c r="A38" s="499"/>
      <c r="B38" s="483"/>
      <c r="C38" s="471"/>
      <c r="D38" s="528"/>
      <c r="E38" s="529"/>
      <c r="F38" s="530"/>
      <c r="G38" s="531"/>
      <c r="H38" s="529"/>
      <c r="I38" s="529"/>
      <c r="J38" s="529"/>
      <c r="K38" s="529"/>
      <c r="L38" s="532"/>
      <c r="M38" s="471"/>
      <c r="N38" s="489"/>
      <c r="O38" s="490"/>
      <c r="P38" s="491"/>
      <c r="Q38" s="492"/>
      <c r="R38" s="493"/>
      <c r="S38" s="494"/>
      <c r="T38" s="505"/>
      <c r="U38" s="496"/>
      <c r="V38" s="497"/>
      <c r="W38" s="541"/>
      <c r="X38" s="541"/>
    </row>
    <row r="39" spans="1:26" x14ac:dyDescent="0.2">
      <c r="A39" s="499"/>
      <c r="B39" s="483"/>
      <c r="C39" s="471"/>
      <c r="D39" s="528"/>
      <c r="E39" s="529"/>
      <c r="F39" s="530"/>
      <c r="G39" s="531"/>
      <c r="H39" s="529"/>
      <c r="I39" s="529"/>
      <c r="J39" s="529"/>
      <c r="K39" s="529"/>
      <c r="L39" s="532"/>
      <c r="M39" s="471"/>
      <c r="N39" s="489"/>
      <c r="O39" s="490"/>
      <c r="P39" s="491"/>
      <c r="Q39" s="492"/>
      <c r="R39" s="493"/>
      <c r="S39" s="494"/>
      <c r="T39" s="505"/>
      <c r="U39" s="496"/>
      <c r="V39" s="497"/>
    </row>
    <row r="40" spans="1:26" x14ac:dyDescent="0.2">
      <c r="A40" s="499"/>
      <c r="B40" s="483"/>
      <c r="C40" s="471"/>
      <c r="D40" s="528"/>
      <c r="E40" s="529"/>
      <c r="F40" s="530"/>
      <c r="G40" s="531"/>
      <c r="H40" s="529"/>
      <c r="I40" s="529"/>
      <c r="J40" s="529"/>
      <c r="K40" s="529"/>
      <c r="L40" s="532"/>
      <c r="M40" s="471"/>
      <c r="N40" s="489"/>
      <c r="O40" s="490"/>
      <c r="P40" s="491"/>
      <c r="Q40" s="492"/>
      <c r="R40" s="493"/>
      <c r="S40" s="494"/>
      <c r="T40" s="505"/>
      <c r="U40" s="496"/>
      <c r="V40" s="497"/>
    </row>
    <row r="41" spans="1:26" x14ac:dyDescent="0.2">
      <c r="A41" s="499"/>
      <c r="B41" s="483"/>
      <c r="C41" s="471"/>
      <c r="D41" s="528"/>
      <c r="E41" s="529"/>
      <c r="F41" s="530"/>
      <c r="G41" s="531"/>
      <c r="H41" s="529"/>
      <c r="I41" s="529"/>
      <c r="J41" s="529"/>
      <c r="K41" s="529"/>
      <c r="L41" s="532"/>
      <c r="M41" s="471"/>
      <c r="N41" s="489"/>
      <c r="O41" s="490"/>
      <c r="P41" s="491"/>
      <c r="Q41" s="492"/>
      <c r="R41" s="493"/>
      <c r="S41" s="494"/>
      <c r="T41" s="505"/>
      <c r="U41" s="496"/>
      <c r="V41" s="497"/>
    </row>
    <row r="42" spans="1:26" x14ac:dyDescent="0.2">
      <c r="A42" s="499"/>
      <c r="B42" s="483"/>
      <c r="C42" s="471"/>
      <c r="D42" s="528"/>
      <c r="E42" s="529"/>
      <c r="F42" s="530"/>
      <c r="G42" s="531"/>
      <c r="H42" s="529"/>
      <c r="I42" s="529"/>
      <c r="J42" s="529"/>
      <c r="K42" s="529"/>
      <c r="L42" s="532"/>
      <c r="M42" s="471"/>
      <c r="N42" s="489"/>
      <c r="O42" s="490"/>
      <c r="P42" s="491"/>
      <c r="Q42" s="492"/>
      <c r="R42" s="493"/>
      <c r="S42" s="494"/>
      <c r="T42" s="505"/>
      <c r="U42" s="496"/>
      <c r="V42" s="497"/>
    </row>
    <row r="43" spans="1:26" x14ac:dyDescent="0.2">
      <c r="A43" s="499"/>
      <c r="B43" s="483"/>
      <c r="C43" s="471"/>
      <c r="D43" s="528"/>
      <c r="E43" s="529"/>
      <c r="F43" s="530"/>
      <c r="G43" s="531"/>
      <c r="H43" s="529"/>
      <c r="I43" s="529"/>
      <c r="J43" s="529"/>
      <c r="K43" s="529"/>
      <c r="L43" s="532"/>
      <c r="M43" s="471"/>
      <c r="N43" s="489"/>
      <c r="O43" s="490"/>
      <c r="P43" s="491"/>
      <c r="Q43" s="492"/>
      <c r="R43" s="493"/>
      <c r="S43" s="494"/>
      <c r="T43" s="505"/>
      <c r="U43" s="496"/>
      <c r="V43" s="497"/>
    </row>
    <row r="44" spans="1:26" x14ac:dyDescent="0.2">
      <c r="A44" s="499"/>
      <c r="B44" s="483"/>
      <c r="C44" s="471"/>
      <c r="D44" s="528"/>
      <c r="E44" s="529"/>
      <c r="F44" s="530"/>
      <c r="G44" s="531"/>
      <c r="H44" s="529"/>
      <c r="I44" s="529"/>
      <c r="J44" s="529"/>
      <c r="K44" s="529"/>
      <c r="L44" s="532"/>
      <c r="M44" s="471"/>
      <c r="N44" s="489"/>
      <c r="O44" s="490"/>
      <c r="P44" s="491"/>
      <c r="Q44" s="492"/>
      <c r="R44" s="493"/>
      <c r="S44" s="494"/>
      <c r="T44" s="505"/>
      <c r="U44" s="496"/>
      <c r="V44" s="497"/>
    </row>
    <row r="45" spans="1:26" x14ac:dyDescent="0.2">
      <c r="A45" s="499"/>
      <c r="B45" s="483"/>
      <c r="C45" s="471"/>
      <c r="D45" s="528"/>
      <c r="E45" s="529"/>
      <c r="F45" s="530"/>
      <c r="G45" s="531"/>
      <c r="H45" s="529"/>
      <c r="I45" s="529"/>
      <c r="J45" s="529"/>
      <c r="K45" s="529"/>
      <c r="L45" s="532"/>
      <c r="M45" s="471"/>
      <c r="N45" s="489"/>
      <c r="O45" s="490"/>
      <c r="P45" s="491"/>
      <c r="Q45" s="492"/>
      <c r="R45" s="493"/>
      <c r="S45" s="494"/>
      <c r="T45" s="505"/>
      <c r="U45" s="496"/>
      <c r="V45" s="497"/>
    </row>
    <row r="46" spans="1:26" x14ac:dyDescent="0.2">
      <c r="A46" s="499"/>
      <c r="B46" s="483"/>
      <c r="C46" s="471"/>
      <c r="D46" s="528"/>
      <c r="E46" s="529"/>
      <c r="F46" s="530"/>
      <c r="G46" s="531"/>
      <c r="H46" s="529"/>
      <c r="I46" s="529"/>
      <c r="J46" s="529"/>
      <c r="K46" s="529"/>
      <c r="L46" s="532"/>
      <c r="M46" s="471"/>
      <c r="N46" s="489"/>
      <c r="O46" s="490"/>
      <c r="P46" s="491"/>
      <c r="Q46" s="492"/>
      <c r="R46" s="493"/>
      <c r="S46" s="494"/>
      <c r="T46" s="505"/>
      <c r="U46" s="496"/>
      <c r="V46" s="497"/>
    </row>
    <row r="47" spans="1:26" x14ac:dyDescent="0.2">
      <c r="A47" s="499"/>
      <c r="B47" s="483"/>
      <c r="C47" s="471"/>
      <c r="D47" s="528"/>
      <c r="E47" s="529"/>
      <c r="F47" s="530"/>
      <c r="G47" s="531"/>
      <c r="H47" s="529"/>
      <c r="I47" s="529"/>
      <c r="J47" s="529"/>
      <c r="K47" s="529"/>
      <c r="L47" s="532"/>
      <c r="M47" s="471"/>
      <c r="N47" s="489"/>
      <c r="O47" s="490"/>
      <c r="P47" s="491"/>
      <c r="Q47" s="492"/>
      <c r="R47" s="493"/>
      <c r="S47" s="494"/>
      <c r="T47" s="505"/>
      <c r="U47" s="496"/>
      <c r="V47" s="497"/>
    </row>
    <row r="48" spans="1:26" x14ac:dyDescent="0.2">
      <c r="A48" s="499"/>
      <c r="B48" s="483"/>
      <c r="C48" s="471"/>
      <c r="D48" s="528"/>
      <c r="E48" s="529"/>
      <c r="F48" s="530"/>
      <c r="G48" s="531"/>
      <c r="H48" s="529"/>
      <c r="I48" s="529"/>
      <c r="J48" s="529"/>
      <c r="K48" s="529"/>
      <c r="L48" s="532"/>
      <c r="M48" s="471"/>
      <c r="N48" s="489"/>
      <c r="O48" s="490"/>
      <c r="P48" s="491"/>
      <c r="Q48" s="492"/>
      <c r="R48" s="493"/>
      <c r="S48" s="494"/>
      <c r="T48" s="505"/>
      <c r="U48" s="496"/>
      <c r="V48" s="497"/>
    </row>
    <row r="49" spans="1:26" x14ac:dyDescent="0.2">
      <c r="A49" s="499"/>
      <c r="B49" s="483"/>
      <c r="C49" s="471"/>
      <c r="D49" s="528"/>
      <c r="E49" s="529"/>
      <c r="F49" s="530"/>
      <c r="G49" s="531"/>
      <c r="H49" s="529"/>
      <c r="I49" s="529"/>
      <c r="J49" s="529"/>
      <c r="K49" s="529"/>
      <c r="L49" s="532"/>
      <c r="M49" s="471"/>
      <c r="N49" s="489"/>
      <c r="O49" s="490"/>
      <c r="P49" s="491"/>
      <c r="Q49" s="492"/>
      <c r="R49" s="493"/>
      <c r="S49" s="494"/>
      <c r="T49" s="505"/>
      <c r="U49" s="496"/>
      <c r="V49" s="497"/>
    </row>
    <row r="50" spans="1:26" x14ac:dyDescent="0.2">
      <c r="A50" s="499"/>
      <c r="B50" s="483"/>
      <c r="C50" s="471"/>
      <c r="D50" s="528"/>
      <c r="E50" s="529"/>
      <c r="F50" s="530"/>
      <c r="G50" s="531"/>
      <c r="H50" s="529"/>
      <c r="I50" s="529"/>
      <c r="J50" s="529"/>
      <c r="K50" s="529"/>
      <c r="L50" s="532"/>
      <c r="M50" s="471"/>
      <c r="N50" s="489"/>
      <c r="O50" s="490"/>
      <c r="P50" s="491"/>
      <c r="Q50" s="492"/>
      <c r="R50" s="493"/>
      <c r="S50" s="494"/>
      <c r="T50" s="505"/>
      <c r="U50" s="496"/>
      <c r="V50" s="497"/>
    </row>
    <row r="51" spans="1:26" ht="10.8" thickBot="1" x14ac:dyDescent="0.25">
      <c r="A51" s="499"/>
      <c r="B51" s="483"/>
      <c r="C51" s="471"/>
      <c r="D51" s="528"/>
      <c r="E51" s="529"/>
      <c r="F51" s="530"/>
      <c r="G51" s="531"/>
      <c r="H51" s="529"/>
      <c r="I51" s="529"/>
      <c r="J51" s="529"/>
      <c r="K51" s="529"/>
      <c r="L51" s="532"/>
      <c r="M51" s="471"/>
      <c r="N51" s="489"/>
      <c r="O51" s="490"/>
      <c r="P51" s="491"/>
      <c r="Q51" s="492"/>
      <c r="R51" s="493"/>
      <c r="S51" s="494"/>
      <c r="T51" s="505"/>
      <c r="U51" s="496"/>
      <c r="V51" s="542"/>
    </row>
    <row r="52" spans="1:26" x14ac:dyDescent="0.2">
      <c r="A52" s="499"/>
      <c r="B52" s="483"/>
      <c r="C52" s="471"/>
      <c r="D52" s="528"/>
      <c r="E52" s="529"/>
      <c r="F52" s="530"/>
      <c r="G52" s="531"/>
      <c r="H52" s="529"/>
      <c r="I52" s="529"/>
      <c r="J52" s="529"/>
      <c r="K52" s="529"/>
      <c r="L52" s="532"/>
      <c r="M52" s="471"/>
      <c r="N52" s="489"/>
      <c r="O52" s="490"/>
      <c r="P52" s="491"/>
      <c r="Q52" s="492"/>
      <c r="R52" s="493"/>
      <c r="S52" s="494"/>
      <c r="T52" s="505"/>
      <c r="U52" s="543" t="s">
        <v>153</v>
      </c>
      <c r="V52" s="544">
        <f>AVERAGE(V12:V51)</f>
        <v>717</v>
      </c>
    </row>
    <row r="53" spans="1:26" x14ac:dyDescent="0.2">
      <c r="A53" s="499"/>
      <c r="B53" s="483"/>
      <c r="C53" s="471"/>
      <c r="D53" s="528"/>
      <c r="E53" s="529"/>
      <c r="F53" s="530"/>
      <c r="G53" s="531"/>
      <c r="H53" s="529"/>
      <c r="I53" s="529"/>
      <c r="J53" s="529"/>
      <c r="K53" s="529"/>
      <c r="L53" s="532"/>
      <c r="M53" s="471"/>
      <c r="N53" s="489"/>
      <c r="O53" s="490"/>
      <c r="P53" s="491"/>
      <c r="Q53" s="492"/>
      <c r="R53" s="493"/>
      <c r="S53" s="494"/>
      <c r="T53" s="505"/>
      <c r="U53" s="370" t="s">
        <v>154</v>
      </c>
      <c r="V53" s="542" t="e">
        <f>STDEV(V12:V51)</f>
        <v>#DIV/0!</v>
      </c>
      <c r="W53" s="545"/>
      <c r="X53" s="545"/>
    </row>
    <row r="54" spans="1:26" x14ac:dyDescent="0.2">
      <c r="A54" s="546" t="s">
        <v>155</v>
      </c>
      <c r="B54" s="547"/>
      <c r="C54" s="548"/>
      <c r="D54" s="548"/>
      <c r="E54" s="548"/>
      <c r="F54" s="548"/>
      <c r="G54" s="549"/>
      <c r="H54" s="548"/>
      <c r="I54" s="548"/>
      <c r="J54" s="548"/>
      <c r="K54" s="548"/>
      <c r="L54" s="550"/>
      <c r="M54" s="548"/>
      <c r="N54" s="551"/>
      <c r="O54" s="552"/>
      <c r="P54" s="553"/>
      <c r="Q54" s="554"/>
      <c r="R54" s="555"/>
      <c r="S54" s="556"/>
      <c r="T54" s="557"/>
      <c r="U54" s="370" t="s">
        <v>156</v>
      </c>
      <c r="V54" s="542" t="e">
        <f>V53/SQRT(COUNT(V12:V50))</f>
        <v>#DIV/0!</v>
      </c>
      <c r="W54" s="540"/>
      <c r="X54" s="545"/>
      <c r="Y54" s="545"/>
      <c r="Z54" s="545"/>
    </row>
    <row r="55" spans="1:26" x14ac:dyDescent="0.2">
      <c r="A55" s="558"/>
      <c r="B55" s="559"/>
      <c r="C55" s="560"/>
      <c r="D55" s="560"/>
      <c r="E55" s="560"/>
      <c r="F55" s="560"/>
      <c r="G55" s="561"/>
      <c r="H55" s="560"/>
      <c r="I55" s="560"/>
      <c r="J55" s="560"/>
      <c r="K55" s="560"/>
      <c r="L55" s="562"/>
      <c r="M55" s="560"/>
      <c r="N55" s="563"/>
      <c r="O55" s="564"/>
      <c r="P55" s="565"/>
      <c r="Q55" s="566"/>
      <c r="R55" s="567"/>
      <c r="S55" s="568"/>
      <c r="T55" s="569"/>
      <c r="U55" s="370" t="s">
        <v>157</v>
      </c>
      <c r="V55" s="542">
        <f>MAX(V12:V51)</f>
        <v>717</v>
      </c>
      <c r="W55" s="540"/>
    </row>
    <row r="56" spans="1:26" ht="10.8" thickBot="1" x14ac:dyDescent="0.25">
      <c r="A56" s="570"/>
      <c r="B56" s="571"/>
      <c r="C56" s="572"/>
      <c r="D56" s="572"/>
      <c r="E56" s="572"/>
      <c r="F56" s="572"/>
      <c r="G56" s="573"/>
      <c r="H56" s="572"/>
      <c r="I56" s="572"/>
      <c r="J56" s="572"/>
      <c r="K56" s="572"/>
      <c r="L56" s="574"/>
      <c r="M56" s="572"/>
      <c r="N56" s="575"/>
      <c r="O56" s="576"/>
      <c r="P56" s="577"/>
      <c r="Q56" s="578"/>
      <c r="R56" s="579"/>
      <c r="S56" s="580"/>
      <c r="T56" s="581"/>
      <c r="U56" s="582" t="s">
        <v>158</v>
      </c>
      <c r="V56" s="583">
        <f>MIN(V12:V51)</f>
        <v>717</v>
      </c>
      <c r="W56" s="545"/>
    </row>
    <row r="57" spans="1:26" x14ac:dyDescent="0.2">
      <c r="A57" s="584"/>
      <c r="B57" s="584"/>
      <c r="C57" s="585"/>
      <c r="D57" s="586"/>
      <c r="E57" s="586"/>
      <c r="F57" s="586"/>
      <c r="G57" s="587"/>
      <c r="H57" s="588"/>
      <c r="I57" s="589"/>
      <c r="J57" s="590"/>
      <c r="K57" s="591"/>
      <c r="L57" s="592"/>
      <c r="M57" s="545"/>
      <c r="O57" s="533"/>
      <c r="P57" s="593"/>
    </row>
    <row r="58" spans="1:26" x14ac:dyDescent="0.2">
      <c r="A58" s="545"/>
      <c r="B58" s="545"/>
      <c r="C58" s="594"/>
      <c r="D58" s="594"/>
      <c r="E58" s="594"/>
      <c r="F58" s="594"/>
      <c r="G58" s="589"/>
      <c r="H58" s="588"/>
      <c r="I58" s="589"/>
      <c r="J58" s="590"/>
      <c r="K58" s="595"/>
      <c r="L58" s="592"/>
      <c r="M58" s="545"/>
      <c r="O58" s="533"/>
      <c r="P58" s="593"/>
    </row>
    <row r="59" spans="1:26" x14ac:dyDescent="0.2">
      <c r="A59" s="596"/>
      <c r="B59" s="596"/>
      <c r="C59" s="596"/>
      <c r="D59" s="596"/>
      <c r="E59" s="590"/>
      <c r="F59" s="597"/>
      <c r="G59" s="545"/>
      <c r="H59" s="533"/>
      <c r="I59" s="545"/>
      <c r="J59" s="533"/>
      <c r="K59" s="533"/>
      <c r="L59" s="545"/>
      <c r="M59" s="545"/>
      <c r="O59" s="533"/>
      <c r="P59" s="593"/>
    </row>
    <row r="60" spans="1:26" x14ac:dyDescent="0.2">
      <c r="A60" s="598"/>
      <c r="B60" s="598"/>
      <c r="C60" s="596"/>
      <c r="D60" s="596"/>
      <c r="E60" s="590"/>
      <c r="F60" s="597"/>
      <c r="G60" s="533"/>
      <c r="H60" s="533"/>
      <c r="I60" s="545"/>
      <c r="J60" s="533"/>
      <c r="K60" s="533"/>
      <c r="L60" s="545"/>
      <c r="M60" s="545"/>
      <c r="O60" s="533"/>
      <c r="P60" s="593"/>
    </row>
    <row r="61" spans="1:26" x14ac:dyDescent="0.2">
      <c r="A61" s="442"/>
      <c r="B61" s="442"/>
      <c r="C61" s="596"/>
      <c r="D61" s="596"/>
      <c r="E61" s="590"/>
      <c r="F61" s="597"/>
      <c r="G61" s="533"/>
      <c r="H61" s="533"/>
      <c r="I61" s="545"/>
      <c r="J61" s="533"/>
      <c r="K61" s="533"/>
      <c r="L61" s="545"/>
      <c r="M61" s="545"/>
      <c r="O61" s="533"/>
      <c r="P61" s="593"/>
    </row>
    <row r="62" spans="1:26" x14ac:dyDescent="0.2">
      <c r="A62" s="596"/>
      <c r="B62" s="596"/>
      <c r="C62" s="596"/>
      <c r="D62" s="596"/>
      <c r="E62" s="590"/>
      <c r="F62" s="597"/>
      <c r="G62" s="533"/>
      <c r="H62" s="533"/>
      <c r="I62" s="545"/>
      <c r="J62" s="533"/>
      <c r="K62" s="533"/>
      <c r="L62" s="545"/>
      <c r="M62" s="545"/>
      <c r="O62" s="533"/>
      <c r="P62" s="593"/>
    </row>
    <row r="63" spans="1:26" x14ac:dyDescent="0.2">
      <c r="A63" s="596"/>
      <c r="B63" s="596"/>
      <c r="C63" s="596"/>
      <c r="D63" s="596"/>
      <c r="E63" s="590"/>
      <c r="F63" s="597"/>
      <c r="G63" s="533"/>
      <c r="H63" s="533"/>
      <c r="I63" s="545"/>
      <c r="J63" s="589"/>
      <c r="K63" s="533"/>
      <c r="L63" s="545"/>
      <c r="M63" s="545"/>
      <c r="O63" s="533"/>
      <c r="P63" s="593"/>
    </row>
    <row r="64" spans="1:26" x14ac:dyDescent="0.2">
      <c r="A64" s="596"/>
      <c r="B64" s="596"/>
      <c r="C64" s="596"/>
      <c r="D64" s="596"/>
      <c r="E64" s="590"/>
      <c r="F64" s="597"/>
      <c r="G64" s="533"/>
      <c r="H64" s="533"/>
      <c r="I64" s="545"/>
      <c r="J64" s="589"/>
      <c r="K64" s="533"/>
      <c r="L64" s="545"/>
      <c r="M64" s="545"/>
      <c r="O64" s="533"/>
      <c r="P64" s="593"/>
    </row>
    <row r="65" spans="1:16" x14ac:dyDescent="0.2">
      <c r="A65" s="596"/>
      <c r="B65" s="596"/>
      <c r="C65" s="596"/>
      <c r="D65" s="596"/>
      <c r="E65" s="590"/>
      <c r="F65" s="597"/>
      <c r="G65" s="533"/>
      <c r="H65" s="533"/>
      <c r="I65" s="545"/>
      <c r="J65" s="533"/>
      <c r="K65" s="533"/>
      <c r="L65" s="545"/>
      <c r="M65" s="545"/>
      <c r="O65" s="533"/>
      <c r="P65" s="593"/>
    </row>
    <row r="66" spans="1:16" x14ac:dyDescent="0.2">
      <c r="A66" s="596"/>
      <c r="B66" s="596"/>
      <c r="C66" s="596"/>
      <c r="D66" s="596"/>
      <c r="E66" s="590"/>
      <c r="F66" s="597"/>
      <c r="G66" s="533"/>
      <c r="H66" s="533"/>
      <c r="I66" s="545"/>
      <c r="J66" s="533"/>
      <c r="K66" s="533"/>
      <c r="L66" s="545"/>
      <c r="M66" s="545"/>
      <c r="O66" s="533"/>
      <c r="P66" s="593"/>
    </row>
    <row r="67" spans="1:16" x14ac:dyDescent="0.2">
      <c r="A67" s="596"/>
      <c r="B67" s="596"/>
      <c r="C67" s="596"/>
      <c r="D67" s="596"/>
      <c r="E67" s="590"/>
      <c r="F67" s="597"/>
      <c r="G67" s="533"/>
      <c r="H67" s="533"/>
      <c r="I67" s="545"/>
      <c r="J67" s="533"/>
      <c r="K67" s="533"/>
      <c r="L67" s="545"/>
      <c r="M67" s="545"/>
      <c r="O67" s="533"/>
      <c r="P67" s="593"/>
    </row>
    <row r="68" spans="1:16" x14ac:dyDescent="0.2">
      <c r="A68" s="596"/>
      <c r="B68" s="596"/>
      <c r="C68" s="596"/>
      <c r="D68" s="596"/>
      <c r="E68" s="590"/>
      <c r="F68" s="597"/>
      <c r="G68" s="533"/>
      <c r="H68" s="533"/>
      <c r="I68" s="545"/>
      <c r="J68" s="533"/>
      <c r="K68" s="533"/>
      <c r="L68" s="545"/>
      <c r="M68" s="545"/>
      <c r="O68" s="533"/>
      <c r="P68" s="593"/>
    </row>
    <row r="69" spans="1:16" x14ac:dyDescent="0.2">
      <c r="A69" s="596"/>
      <c r="B69" s="596"/>
      <c r="C69" s="596"/>
      <c r="D69" s="596"/>
      <c r="E69" s="590"/>
      <c r="F69" s="597"/>
      <c r="G69" s="533"/>
      <c r="H69" s="533"/>
      <c r="I69" s="545"/>
      <c r="J69" s="533"/>
      <c r="K69" s="533"/>
      <c r="L69" s="545"/>
      <c r="M69" s="545"/>
      <c r="O69" s="533"/>
      <c r="P69" s="593"/>
    </row>
    <row r="70" spans="1:16" x14ac:dyDescent="0.2">
      <c r="A70" s="596"/>
      <c r="B70" s="596"/>
      <c r="C70" s="596"/>
      <c r="D70" s="596"/>
      <c r="E70" s="590"/>
      <c r="F70" s="597"/>
      <c r="G70" s="533"/>
      <c r="H70" s="533"/>
      <c r="I70" s="545"/>
      <c r="J70" s="533"/>
      <c r="K70" s="533"/>
      <c r="L70" s="545"/>
      <c r="O70" s="533"/>
      <c r="P70" s="593"/>
    </row>
    <row r="71" spans="1:16" x14ac:dyDescent="0.2">
      <c r="A71" s="596"/>
      <c r="B71" s="596"/>
      <c r="C71" s="596"/>
      <c r="D71" s="596"/>
      <c r="E71" s="590"/>
      <c r="F71" s="597"/>
      <c r="G71" s="533"/>
      <c r="H71" s="533"/>
      <c r="I71" s="545"/>
      <c r="J71" s="533"/>
      <c r="K71" s="533"/>
      <c r="L71" s="545"/>
      <c r="O71" s="533"/>
      <c r="P71" s="593"/>
    </row>
    <row r="72" spans="1:16" x14ac:dyDescent="0.2">
      <c r="A72" s="596"/>
      <c r="B72" s="596"/>
      <c r="C72" s="596"/>
      <c r="D72" s="596"/>
      <c r="E72" s="590"/>
      <c r="F72" s="597"/>
      <c r="G72" s="533"/>
      <c r="H72" s="533"/>
      <c r="I72" s="545"/>
      <c r="J72" s="533"/>
      <c r="K72" s="533"/>
      <c r="L72" s="533"/>
      <c r="O72" s="533"/>
      <c r="P72" s="593"/>
    </row>
    <row r="73" spans="1:16" x14ac:dyDescent="0.2">
      <c r="A73" s="596"/>
      <c r="B73" s="596"/>
      <c r="C73" s="596"/>
      <c r="D73" s="596"/>
      <c r="E73" s="590"/>
      <c r="F73" s="597"/>
      <c r="G73" s="533"/>
      <c r="H73" s="533"/>
      <c r="I73" s="545"/>
      <c r="J73" s="533"/>
      <c r="K73" s="533"/>
      <c r="L73" s="533"/>
      <c r="O73" s="533"/>
      <c r="P73" s="593"/>
    </row>
    <row r="74" spans="1:16" x14ac:dyDescent="0.2">
      <c r="A74" s="596"/>
      <c r="B74" s="596"/>
      <c r="C74" s="596"/>
      <c r="D74" s="596"/>
      <c r="E74" s="590"/>
      <c r="F74" s="597"/>
      <c r="G74" s="533"/>
      <c r="H74" s="533"/>
      <c r="I74" s="545"/>
      <c r="J74" s="533"/>
      <c r="K74" s="533"/>
      <c r="L74" s="533"/>
      <c r="O74" s="533"/>
      <c r="P74" s="593"/>
    </row>
    <row r="75" spans="1:16" x14ac:dyDescent="0.2">
      <c r="A75" s="596"/>
      <c r="B75" s="596"/>
      <c r="C75" s="596"/>
      <c r="D75" s="596"/>
      <c r="E75" s="590"/>
      <c r="F75" s="597"/>
      <c r="G75" s="533"/>
      <c r="H75" s="533"/>
      <c r="I75" s="545"/>
      <c r="J75" s="533"/>
      <c r="K75" s="533"/>
      <c r="L75" s="533"/>
      <c r="O75" s="533"/>
      <c r="P75" s="593"/>
    </row>
    <row r="76" spans="1:16" x14ac:dyDescent="0.2">
      <c r="A76" s="596"/>
      <c r="B76" s="596"/>
      <c r="C76" s="596"/>
      <c r="D76" s="596"/>
      <c r="E76" s="590"/>
      <c r="F76" s="597"/>
      <c r="G76" s="533"/>
      <c r="H76" s="533"/>
      <c r="I76" s="545"/>
      <c r="J76" s="533"/>
      <c r="K76" s="533"/>
      <c r="L76" s="533"/>
      <c r="O76" s="533"/>
      <c r="P76" s="593"/>
    </row>
    <row r="77" spans="1:16" x14ac:dyDescent="0.2">
      <c r="A77" s="596"/>
      <c r="B77" s="596"/>
      <c r="C77" s="596"/>
      <c r="D77" s="596"/>
      <c r="E77" s="590"/>
      <c r="F77" s="597"/>
      <c r="G77" s="533"/>
      <c r="H77" s="533"/>
      <c r="I77" s="545"/>
      <c r="J77" s="533"/>
      <c r="K77" s="533"/>
      <c r="L77" s="533"/>
      <c r="O77" s="533"/>
      <c r="P77" s="593"/>
    </row>
    <row r="78" spans="1:16" x14ac:dyDescent="0.2">
      <c r="A78" s="596"/>
      <c r="B78" s="596"/>
      <c r="C78" s="596"/>
      <c r="D78" s="596"/>
      <c r="E78" s="590"/>
      <c r="F78" s="597"/>
      <c r="G78" s="533"/>
      <c r="H78" s="533"/>
      <c r="I78" s="545"/>
      <c r="J78" s="533"/>
      <c r="K78" s="533"/>
      <c r="L78" s="533"/>
      <c r="O78" s="533"/>
      <c r="P78" s="593"/>
    </row>
    <row r="79" spans="1:16" x14ac:dyDescent="0.2">
      <c r="A79" s="596"/>
      <c r="B79" s="596"/>
      <c r="C79" s="596"/>
      <c r="D79" s="596"/>
      <c r="E79" s="590"/>
      <c r="F79" s="597"/>
      <c r="G79" s="533"/>
      <c r="H79" s="533"/>
      <c r="I79" s="545"/>
      <c r="J79" s="533"/>
      <c r="K79" s="533"/>
      <c r="L79" s="533"/>
      <c r="O79" s="533"/>
      <c r="P79" s="593"/>
    </row>
    <row r="80" spans="1:16" x14ac:dyDescent="0.2">
      <c r="A80" s="596"/>
      <c r="B80" s="596"/>
      <c r="C80" s="596"/>
      <c r="D80" s="596"/>
      <c r="E80" s="590"/>
      <c r="F80" s="597"/>
      <c r="G80" s="533"/>
      <c r="H80" s="533"/>
      <c r="I80" s="545"/>
      <c r="J80" s="533"/>
      <c r="K80" s="533"/>
      <c r="L80" s="533"/>
      <c r="O80" s="533"/>
      <c r="P80" s="593"/>
    </row>
    <row r="81" spans="1:19" x14ac:dyDescent="0.2">
      <c r="A81" s="596"/>
      <c r="B81" s="596"/>
      <c r="C81" s="596"/>
      <c r="D81" s="596"/>
      <c r="E81" s="590"/>
      <c r="F81" s="597"/>
      <c r="G81" s="533"/>
      <c r="H81" s="533"/>
      <c r="I81" s="545"/>
      <c r="J81" s="533"/>
      <c r="K81" s="533"/>
      <c r="L81" s="533"/>
      <c r="O81" s="533"/>
      <c r="P81" s="593"/>
    </row>
    <row r="82" spans="1:19" x14ac:dyDescent="0.2">
      <c r="A82" s="596"/>
      <c r="B82" s="596"/>
      <c r="C82" s="596"/>
      <c r="D82" s="596"/>
      <c r="E82" s="590"/>
      <c r="F82" s="597"/>
      <c r="G82" s="533"/>
      <c r="H82" s="533"/>
      <c r="I82" s="545"/>
      <c r="J82" s="533"/>
      <c r="K82" s="533"/>
      <c r="L82" s="533"/>
      <c r="O82" s="533"/>
      <c r="P82" s="593"/>
    </row>
    <row r="83" spans="1:19" x14ac:dyDescent="0.2">
      <c r="A83" s="596"/>
      <c r="B83" s="596"/>
      <c r="C83" s="596"/>
      <c r="D83" s="596"/>
      <c r="E83" s="590"/>
      <c r="F83" s="597"/>
      <c r="G83" s="593"/>
      <c r="H83" s="533"/>
      <c r="I83" s="545"/>
      <c r="J83" s="533"/>
      <c r="K83" s="533"/>
      <c r="L83" s="533"/>
      <c r="O83" s="533"/>
      <c r="P83" s="593"/>
    </row>
    <row r="84" spans="1:19" x14ac:dyDescent="0.2">
      <c r="A84" s="596"/>
      <c r="B84" s="596"/>
      <c r="C84" s="596"/>
      <c r="D84" s="596"/>
      <c r="E84" s="590"/>
      <c r="F84" s="597"/>
      <c r="G84" s="593"/>
      <c r="H84" s="533"/>
      <c r="I84" s="545"/>
      <c r="J84" s="533"/>
      <c r="K84" s="533"/>
      <c r="L84" s="533"/>
      <c r="O84" s="533"/>
      <c r="P84" s="593"/>
    </row>
    <row r="85" spans="1:19" x14ac:dyDescent="0.2">
      <c r="A85" s="596"/>
      <c r="B85" s="596"/>
      <c r="C85" s="596"/>
      <c r="D85" s="596"/>
      <c r="E85" s="590"/>
      <c r="F85" s="597"/>
      <c r="G85" s="593"/>
      <c r="H85" s="533"/>
      <c r="I85" s="545"/>
      <c r="J85" s="533"/>
      <c r="K85" s="533"/>
      <c r="L85" s="533"/>
      <c r="O85" s="533"/>
      <c r="P85" s="593"/>
    </row>
    <row r="86" spans="1:19" x14ac:dyDescent="0.2">
      <c r="A86" s="596"/>
      <c r="B86" s="596"/>
      <c r="C86" s="596"/>
      <c r="D86" s="596"/>
      <c r="E86" s="590"/>
      <c r="F86" s="597"/>
      <c r="G86" s="593"/>
      <c r="H86" s="533"/>
      <c r="I86" s="545"/>
      <c r="J86" s="533"/>
      <c r="K86" s="533"/>
      <c r="L86" s="533"/>
      <c r="O86" s="533"/>
      <c r="P86" s="593"/>
    </row>
    <row r="87" spans="1:19" x14ac:dyDescent="0.2">
      <c r="A87" s="596"/>
      <c r="B87" s="596"/>
      <c r="C87" s="596"/>
      <c r="D87" s="596"/>
      <c r="E87" s="590"/>
      <c r="F87" s="597"/>
      <c r="G87" s="533"/>
      <c r="H87" s="533"/>
      <c r="I87" s="545"/>
      <c r="J87" s="533"/>
      <c r="K87" s="533"/>
      <c r="L87" s="533"/>
      <c r="O87" s="533"/>
      <c r="P87" s="593"/>
    </row>
    <row r="88" spans="1:19" x14ac:dyDescent="0.2">
      <c r="A88" s="596"/>
      <c r="B88" s="596"/>
      <c r="C88" s="596"/>
      <c r="D88" s="596"/>
      <c r="E88" s="590"/>
      <c r="F88" s="597"/>
      <c r="G88" s="533"/>
      <c r="H88" s="533"/>
      <c r="I88" s="545"/>
      <c r="J88" s="533"/>
      <c r="K88" s="533"/>
      <c r="L88" s="533"/>
      <c r="O88" s="533"/>
      <c r="P88" s="593"/>
    </row>
    <row r="89" spans="1:19" s="596" customFormat="1" x14ac:dyDescent="0.2">
      <c r="E89" s="590"/>
      <c r="F89" s="597"/>
      <c r="G89" s="533"/>
      <c r="H89" s="533"/>
      <c r="I89" s="545"/>
      <c r="J89" s="533"/>
      <c r="K89" s="533"/>
      <c r="L89" s="533"/>
      <c r="M89" s="533"/>
      <c r="N89" s="533"/>
      <c r="O89" s="533"/>
      <c r="P89" s="593"/>
      <c r="Q89" s="593"/>
      <c r="R89" s="599"/>
      <c r="S89" s="599"/>
    </row>
    <row r="90" spans="1:19" s="596" customFormat="1" x14ac:dyDescent="0.2">
      <c r="E90" s="590"/>
      <c r="F90" s="597"/>
      <c r="G90" s="533"/>
      <c r="H90" s="533"/>
      <c r="I90" s="545"/>
      <c r="J90" s="533"/>
      <c r="K90" s="533"/>
      <c r="L90" s="533"/>
      <c r="M90" s="533"/>
      <c r="N90" s="533"/>
      <c r="O90" s="533"/>
      <c r="P90" s="593"/>
      <c r="Q90" s="593"/>
      <c r="R90" s="599"/>
      <c r="S90" s="599"/>
    </row>
    <row r="91" spans="1:19" s="596" customFormat="1" x14ac:dyDescent="0.2">
      <c r="E91" s="590"/>
      <c r="F91" s="597"/>
      <c r="G91" s="533"/>
      <c r="H91" s="533"/>
      <c r="I91" s="545"/>
      <c r="J91" s="533"/>
      <c r="K91" s="533"/>
      <c r="L91" s="533"/>
      <c r="M91" s="533"/>
      <c r="N91" s="533"/>
      <c r="O91" s="533"/>
      <c r="P91" s="593"/>
      <c r="Q91" s="593"/>
      <c r="R91" s="599"/>
      <c r="S91" s="599"/>
    </row>
    <row r="92" spans="1:19" s="596" customFormat="1" x14ac:dyDescent="0.2">
      <c r="E92" s="590"/>
      <c r="F92" s="597"/>
      <c r="G92" s="533"/>
      <c r="H92" s="533"/>
      <c r="I92" s="545"/>
      <c r="J92" s="533"/>
      <c r="K92" s="533"/>
      <c r="L92" s="533"/>
      <c r="M92" s="533"/>
      <c r="N92" s="533"/>
      <c r="O92" s="533"/>
      <c r="P92" s="593"/>
      <c r="Q92" s="593"/>
      <c r="R92" s="599"/>
      <c r="S92" s="599"/>
    </row>
    <row r="93" spans="1:19" s="596" customFormat="1" x14ac:dyDescent="0.2">
      <c r="E93" s="590"/>
      <c r="F93" s="597"/>
      <c r="G93" s="533"/>
      <c r="H93" s="533"/>
      <c r="I93" s="545"/>
      <c r="J93" s="533"/>
      <c r="K93" s="533"/>
      <c r="L93" s="533"/>
      <c r="M93" s="533"/>
      <c r="N93" s="533"/>
      <c r="O93" s="533"/>
      <c r="P93" s="593"/>
      <c r="Q93" s="593"/>
      <c r="R93" s="599"/>
      <c r="S93" s="599"/>
    </row>
    <row r="94" spans="1:19" s="596" customFormat="1" x14ac:dyDescent="0.2">
      <c r="E94" s="590"/>
      <c r="F94" s="597"/>
      <c r="G94" s="533"/>
      <c r="H94" s="533"/>
      <c r="I94" s="545"/>
      <c r="J94" s="533"/>
      <c r="K94" s="533"/>
      <c r="L94" s="533"/>
      <c r="M94" s="533"/>
      <c r="P94" s="599"/>
      <c r="Q94" s="599"/>
      <c r="R94" s="599"/>
      <c r="S94" s="599"/>
    </row>
    <row r="95" spans="1:19" s="596" customFormat="1" x14ac:dyDescent="0.2">
      <c r="E95" s="590"/>
      <c r="F95" s="597"/>
      <c r="G95" s="533"/>
      <c r="H95" s="533"/>
      <c r="I95" s="545"/>
      <c r="J95" s="533"/>
      <c r="K95" s="533"/>
      <c r="L95" s="533"/>
      <c r="M95" s="533"/>
      <c r="P95" s="599"/>
      <c r="Q95" s="599"/>
      <c r="R95" s="599"/>
      <c r="S95" s="599"/>
    </row>
    <row r="96" spans="1:19" s="596" customFormat="1" x14ac:dyDescent="0.2">
      <c r="E96" s="590"/>
      <c r="F96" s="597"/>
      <c r="G96" s="533"/>
      <c r="H96" s="533"/>
      <c r="I96" s="545"/>
      <c r="J96" s="533"/>
      <c r="K96" s="533"/>
      <c r="L96" s="533"/>
      <c r="M96" s="533"/>
      <c r="P96" s="599"/>
      <c r="Q96" s="599"/>
      <c r="R96" s="599"/>
      <c r="S96" s="599"/>
    </row>
    <row r="97" spans="5:19" s="596" customFormat="1" x14ac:dyDescent="0.2">
      <c r="E97" s="590"/>
      <c r="F97" s="597"/>
      <c r="G97" s="533"/>
      <c r="H97" s="533"/>
      <c r="I97" s="545"/>
      <c r="J97" s="533"/>
      <c r="K97" s="533"/>
      <c r="L97" s="533"/>
      <c r="M97" s="533"/>
      <c r="P97" s="599"/>
      <c r="Q97" s="599"/>
      <c r="R97" s="599"/>
      <c r="S97" s="599"/>
    </row>
    <row r="98" spans="5:19" s="596" customFormat="1" x14ac:dyDescent="0.2">
      <c r="E98" s="590"/>
      <c r="F98" s="597"/>
      <c r="G98" s="533"/>
      <c r="H98" s="533"/>
      <c r="I98" s="545"/>
      <c r="J98" s="533"/>
      <c r="K98" s="533"/>
      <c r="L98" s="533"/>
      <c r="M98" s="533"/>
      <c r="P98" s="599"/>
      <c r="Q98" s="599"/>
      <c r="R98" s="599"/>
      <c r="S98" s="599"/>
    </row>
    <row r="99" spans="5:19" s="596" customFormat="1" x14ac:dyDescent="0.2">
      <c r="E99" s="590"/>
      <c r="F99" s="597"/>
      <c r="G99" s="533"/>
      <c r="H99" s="533"/>
      <c r="I99" s="545"/>
      <c r="J99" s="533"/>
      <c r="K99" s="533"/>
      <c r="L99" s="533"/>
      <c r="M99" s="533"/>
      <c r="P99" s="599"/>
      <c r="Q99" s="599"/>
      <c r="R99" s="599"/>
      <c r="S99" s="599"/>
    </row>
    <row r="100" spans="5:19" s="596" customFormat="1" x14ac:dyDescent="0.2">
      <c r="E100" s="590"/>
      <c r="F100" s="597"/>
      <c r="G100" s="533"/>
      <c r="H100" s="533"/>
      <c r="I100" s="545"/>
      <c r="J100" s="533"/>
      <c r="K100" s="533"/>
      <c r="L100" s="533"/>
      <c r="M100" s="533"/>
      <c r="P100" s="599"/>
      <c r="Q100" s="599"/>
      <c r="R100" s="599"/>
      <c r="S100" s="599"/>
    </row>
    <row r="101" spans="5:19" s="596" customFormat="1" x14ac:dyDescent="0.2">
      <c r="E101" s="590"/>
      <c r="F101" s="597"/>
      <c r="G101" s="533"/>
      <c r="H101" s="533"/>
      <c r="I101" s="545"/>
      <c r="J101" s="533"/>
      <c r="K101" s="533"/>
      <c r="L101" s="533"/>
      <c r="M101" s="533"/>
      <c r="P101" s="599"/>
      <c r="Q101" s="599"/>
      <c r="R101" s="599"/>
      <c r="S101" s="599"/>
    </row>
    <row r="102" spans="5:19" s="596" customFormat="1" x14ac:dyDescent="0.2">
      <c r="E102" s="590"/>
      <c r="F102" s="597"/>
      <c r="G102" s="533"/>
      <c r="H102" s="533"/>
      <c r="I102" s="545"/>
      <c r="J102" s="533"/>
      <c r="K102" s="533"/>
      <c r="L102" s="533"/>
      <c r="M102" s="533"/>
      <c r="P102" s="599"/>
      <c r="Q102" s="599"/>
      <c r="R102" s="599"/>
      <c r="S102" s="599"/>
    </row>
    <row r="103" spans="5:19" s="596" customFormat="1" x14ac:dyDescent="0.2">
      <c r="E103" s="590"/>
      <c r="F103" s="597"/>
      <c r="G103" s="533"/>
      <c r="H103" s="533"/>
      <c r="I103" s="545"/>
      <c r="J103" s="533"/>
      <c r="K103" s="533"/>
      <c r="L103" s="533"/>
      <c r="M103" s="533"/>
      <c r="P103" s="599"/>
      <c r="Q103" s="599"/>
      <c r="R103" s="599"/>
      <c r="S103" s="599"/>
    </row>
    <row r="104" spans="5:19" s="596" customFormat="1" x14ac:dyDescent="0.2">
      <c r="E104" s="590"/>
      <c r="F104" s="597"/>
      <c r="G104" s="533"/>
      <c r="H104" s="533"/>
      <c r="I104" s="545"/>
      <c r="J104" s="533"/>
      <c r="K104" s="533"/>
      <c r="L104" s="533"/>
      <c r="M104" s="533"/>
      <c r="P104" s="599"/>
      <c r="Q104" s="599"/>
      <c r="R104" s="599"/>
      <c r="S104" s="599"/>
    </row>
    <row r="105" spans="5:19" s="596" customFormat="1" x14ac:dyDescent="0.2">
      <c r="E105" s="590"/>
      <c r="F105" s="597"/>
      <c r="G105" s="533"/>
      <c r="H105" s="533"/>
      <c r="I105" s="545"/>
      <c r="J105" s="533"/>
      <c r="K105" s="533"/>
      <c r="L105" s="533"/>
      <c r="M105" s="533"/>
      <c r="P105" s="599"/>
      <c r="Q105" s="599"/>
      <c r="R105" s="599"/>
      <c r="S105" s="599"/>
    </row>
    <row r="106" spans="5:19" s="596" customFormat="1" x14ac:dyDescent="0.2">
      <c r="E106" s="590"/>
      <c r="F106" s="597"/>
      <c r="G106" s="533"/>
      <c r="H106" s="533"/>
      <c r="I106" s="545"/>
      <c r="J106" s="533"/>
      <c r="K106" s="533"/>
      <c r="L106" s="533"/>
      <c r="M106" s="533"/>
      <c r="P106" s="599"/>
      <c r="Q106" s="599"/>
      <c r="R106" s="599"/>
      <c r="S106" s="599"/>
    </row>
    <row r="107" spans="5:19" s="596" customFormat="1" x14ac:dyDescent="0.2">
      <c r="E107" s="590"/>
      <c r="F107" s="597"/>
      <c r="G107" s="533"/>
      <c r="H107" s="533"/>
      <c r="I107" s="545"/>
      <c r="J107" s="533"/>
      <c r="K107" s="533"/>
      <c r="L107" s="533"/>
      <c r="M107" s="533"/>
      <c r="P107" s="599"/>
      <c r="Q107" s="599"/>
      <c r="R107" s="599"/>
      <c r="S107" s="599"/>
    </row>
    <row r="108" spans="5:19" s="596" customFormat="1" x14ac:dyDescent="0.2">
      <c r="E108" s="590"/>
      <c r="F108" s="597"/>
      <c r="G108" s="533"/>
      <c r="H108" s="533"/>
      <c r="I108" s="545"/>
      <c r="J108" s="533"/>
      <c r="K108" s="533"/>
      <c r="L108" s="533"/>
      <c r="M108" s="533"/>
      <c r="P108" s="599"/>
      <c r="Q108" s="599"/>
      <c r="R108" s="599"/>
      <c r="S108" s="599"/>
    </row>
    <row r="109" spans="5:19" s="596" customFormat="1" x14ac:dyDescent="0.2">
      <c r="E109" s="590"/>
      <c r="F109" s="597"/>
      <c r="G109" s="533"/>
      <c r="H109" s="533"/>
      <c r="I109" s="545"/>
      <c r="J109" s="533"/>
      <c r="K109" s="533"/>
      <c r="L109" s="533"/>
      <c r="P109" s="599"/>
      <c r="Q109" s="599"/>
      <c r="R109" s="599"/>
      <c r="S109" s="599"/>
    </row>
    <row r="110" spans="5:19" s="596" customFormat="1" x14ac:dyDescent="0.2">
      <c r="E110" s="590"/>
      <c r="F110" s="597"/>
      <c r="G110" s="533"/>
      <c r="H110" s="533"/>
      <c r="I110" s="545"/>
      <c r="J110" s="533"/>
      <c r="K110" s="533"/>
      <c r="L110" s="533"/>
      <c r="P110" s="599"/>
      <c r="Q110" s="599"/>
      <c r="R110" s="599"/>
      <c r="S110" s="599"/>
    </row>
    <row r="111" spans="5:19" s="596" customFormat="1" x14ac:dyDescent="0.2">
      <c r="E111" s="590"/>
      <c r="F111" s="597"/>
      <c r="G111" s="533"/>
      <c r="H111" s="533"/>
      <c r="I111" s="545"/>
      <c r="J111" s="533"/>
      <c r="K111" s="533"/>
      <c r="L111" s="533"/>
      <c r="P111" s="599"/>
      <c r="Q111" s="599"/>
      <c r="R111" s="599"/>
      <c r="S111" s="599"/>
    </row>
    <row r="112" spans="5:19" s="596" customFormat="1" x14ac:dyDescent="0.2">
      <c r="E112" s="590"/>
      <c r="F112" s="597"/>
      <c r="G112" s="533"/>
      <c r="H112" s="533"/>
      <c r="I112" s="545"/>
      <c r="J112" s="533"/>
      <c r="K112" s="533"/>
      <c r="L112" s="533"/>
      <c r="P112" s="599"/>
      <c r="Q112" s="599"/>
      <c r="R112" s="599"/>
      <c r="S112" s="599"/>
    </row>
    <row r="113" spans="5:19" s="596" customFormat="1" x14ac:dyDescent="0.2">
      <c r="E113" s="590"/>
      <c r="F113" s="597"/>
      <c r="G113" s="533"/>
      <c r="H113" s="533"/>
      <c r="I113" s="545"/>
      <c r="J113" s="533"/>
      <c r="K113" s="533"/>
      <c r="L113" s="533"/>
      <c r="P113" s="599"/>
      <c r="Q113" s="599"/>
      <c r="R113" s="599"/>
      <c r="S113" s="599"/>
    </row>
    <row r="114" spans="5:19" s="596" customFormat="1" x14ac:dyDescent="0.2">
      <c r="E114" s="590"/>
      <c r="F114" s="597"/>
      <c r="G114" s="533"/>
      <c r="H114" s="533"/>
      <c r="I114" s="545"/>
      <c r="J114" s="533"/>
      <c r="K114" s="533"/>
      <c r="L114" s="533"/>
      <c r="P114" s="599"/>
      <c r="Q114" s="599"/>
      <c r="R114" s="599"/>
      <c r="S114" s="599"/>
    </row>
    <row r="115" spans="5:19" s="596" customFormat="1" x14ac:dyDescent="0.2">
      <c r="E115" s="590"/>
      <c r="F115" s="597"/>
      <c r="G115" s="533"/>
      <c r="H115" s="533"/>
      <c r="I115" s="545"/>
      <c r="J115" s="533"/>
      <c r="K115" s="533"/>
      <c r="L115" s="533"/>
      <c r="P115" s="599"/>
      <c r="Q115" s="599"/>
      <c r="R115" s="599"/>
      <c r="S115" s="599"/>
    </row>
    <row r="116" spans="5:19" s="596" customFormat="1" x14ac:dyDescent="0.2">
      <c r="E116" s="590"/>
      <c r="F116" s="597"/>
      <c r="G116" s="533"/>
      <c r="H116" s="533"/>
      <c r="I116" s="545"/>
      <c r="J116" s="533"/>
      <c r="K116" s="533"/>
      <c r="L116" s="533"/>
      <c r="P116" s="599"/>
      <c r="Q116" s="599"/>
      <c r="R116" s="599"/>
      <c r="S116" s="599"/>
    </row>
    <row r="117" spans="5:19" s="596" customFormat="1" x14ac:dyDescent="0.2">
      <c r="E117" s="590"/>
      <c r="F117" s="597"/>
      <c r="G117" s="533"/>
      <c r="H117" s="533"/>
      <c r="I117" s="545"/>
      <c r="J117" s="533"/>
      <c r="K117" s="533"/>
      <c r="L117" s="533"/>
      <c r="P117" s="599"/>
      <c r="Q117" s="599"/>
      <c r="R117" s="599"/>
      <c r="S117" s="599"/>
    </row>
    <row r="118" spans="5:19" s="596" customFormat="1" x14ac:dyDescent="0.2">
      <c r="E118" s="590"/>
      <c r="F118" s="597"/>
      <c r="G118" s="533"/>
      <c r="H118" s="533"/>
      <c r="I118" s="545"/>
      <c r="J118" s="533"/>
      <c r="K118" s="533"/>
      <c r="L118" s="533"/>
      <c r="P118" s="599"/>
      <c r="Q118" s="599"/>
      <c r="R118" s="599"/>
      <c r="S118" s="599"/>
    </row>
    <row r="119" spans="5:19" s="596" customFormat="1" x14ac:dyDescent="0.2">
      <c r="E119" s="590"/>
      <c r="F119" s="597"/>
      <c r="G119" s="533"/>
      <c r="H119" s="533"/>
      <c r="I119" s="545"/>
      <c r="J119" s="533"/>
      <c r="K119" s="533"/>
      <c r="L119" s="533"/>
      <c r="P119" s="599"/>
      <c r="Q119" s="599"/>
      <c r="R119" s="599"/>
      <c r="S119" s="599"/>
    </row>
    <row r="120" spans="5:19" s="596" customFormat="1" x14ac:dyDescent="0.2">
      <c r="E120" s="590"/>
      <c r="F120" s="597"/>
      <c r="G120" s="533"/>
      <c r="H120" s="533"/>
      <c r="I120" s="545"/>
      <c r="J120" s="533"/>
      <c r="K120" s="533"/>
      <c r="L120" s="533"/>
      <c r="P120" s="599"/>
      <c r="Q120" s="599"/>
      <c r="R120" s="599"/>
      <c r="S120" s="599"/>
    </row>
    <row r="121" spans="5:19" s="596" customFormat="1" x14ac:dyDescent="0.2">
      <c r="E121" s="590"/>
      <c r="F121" s="597"/>
      <c r="G121" s="533"/>
      <c r="H121" s="533"/>
      <c r="I121" s="545"/>
      <c r="J121" s="533"/>
      <c r="K121" s="533"/>
      <c r="L121" s="533"/>
      <c r="P121" s="599"/>
      <c r="Q121" s="599"/>
      <c r="R121" s="599"/>
      <c r="S121" s="599"/>
    </row>
    <row r="122" spans="5:19" s="596" customFormat="1" x14ac:dyDescent="0.2">
      <c r="E122" s="590"/>
      <c r="F122" s="597"/>
      <c r="G122" s="533"/>
      <c r="H122" s="533"/>
      <c r="I122" s="545"/>
      <c r="J122" s="533"/>
      <c r="K122" s="533"/>
      <c r="L122" s="533"/>
      <c r="P122" s="599"/>
      <c r="Q122" s="599"/>
      <c r="R122" s="599"/>
      <c r="S122" s="599"/>
    </row>
    <row r="123" spans="5:19" s="596" customFormat="1" x14ac:dyDescent="0.2">
      <c r="E123" s="590"/>
      <c r="F123" s="597"/>
      <c r="G123" s="533"/>
      <c r="H123" s="533"/>
      <c r="I123" s="545"/>
      <c r="J123" s="533"/>
      <c r="K123" s="533"/>
      <c r="L123" s="533"/>
      <c r="P123" s="599"/>
      <c r="Q123" s="599"/>
      <c r="R123" s="599"/>
      <c r="S123" s="599"/>
    </row>
    <row r="124" spans="5:19" s="596" customFormat="1" x14ac:dyDescent="0.2">
      <c r="E124" s="590"/>
      <c r="F124" s="597"/>
      <c r="G124" s="533"/>
      <c r="H124" s="533"/>
      <c r="I124" s="545"/>
      <c r="J124" s="533"/>
      <c r="K124" s="533"/>
      <c r="L124" s="533"/>
      <c r="P124" s="599"/>
      <c r="Q124" s="599"/>
      <c r="R124" s="599"/>
      <c r="S124" s="599"/>
    </row>
    <row r="125" spans="5:19" s="596" customFormat="1" x14ac:dyDescent="0.2">
      <c r="E125" s="590"/>
      <c r="F125" s="597"/>
      <c r="G125" s="533"/>
      <c r="H125" s="533"/>
      <c r="I125" s="545"/>
      <c r="J125" s="533"/>
      <c r="K125" s="533"/>
      <c r="L125" s="533"/>
      <c r="P125" s="599"/>
      <c r="Q125" s="599"/>
      <c r="R125" s="599"/>
      <c r="S125" s="599"/>
    </row>
    <row r="126" spans="5:19" s="596" customFormat="1" x14ac:dyDescent="0.2">
      <c r="E126" s="590"/>
      <c r="F126" s="597"/>
      <c r="G126" s="533"/>
      <c r="H126" s="533"/>
      <c r="I126" s="545"/>
      <c r="J126" s="533"/>
      <c r="K126" s="533"/>
      <c r="L126" s="533"/>
      <c r="P126" s="599"/>
      <c r="Q126" s="599"/>
      <c r="R126" s="599"/>
      <c r="S126" s="599"/>
    </row>
    <row r="127" spans="5:19" s="596" customFormat="1" x14ac:dyDescent="0.2">
      <c r="E127" s="590"/>
      <c r="F127" s="597"/>
      <c r="G127" s="533"/>
      <c r="H127" s="533"/>
      <c r="I127" s="545"/>
      <c r="J127" s="533"/>
      <c r="K127" s="533"/>
      <c r="L127" s="533"/>
      <c r="P127" s="599"/>
      <c r="Q127" s="599"/>
      <c r="R127" s="599"/>
      <c r="S127" s="599"/>
    </row>
    <row r="128" spans="5:19" s="596" customFormat="1" x14ac:dyDescent="0.2">
      <c r="E128" s="590"/>
      <c r="F128" s="597"/>
      <c r="G128" s="533"/>
      <c r="H128" s="533"/>
      <c r="I128" s="545"/>
      <c r="J128" s="533"/>
      <c r="K128" s="533"/>
      <c r="L128" s="533"/>
      <c r="P128" s="599"/>
      <c r="Q128" s="599"/>
      <c r="R128" s="599"/>
      <c r="S128" s="599"/>
    </row>
    <row r="129" spans="5:19" s="596" customFormat="1" x14ac:dyDescent="0.2">
      <c r="E129" s="590"/>
      <c r="F129" s="597"/>
      <c r="G129" s="533"/>
      <c r="H129" s="533"/>
      <c r="I129" s="545"/>
      <c r="J129" s="533"/>
      <c r="K129" s="533"/>
      <c r="L129" s="533"/>
      <c r="P129" s="599"/>
      <c r="Q129" s="599"/>
      <c r="R129" s="599"/>
      <c r="S129" s="599"/>
    </row>
    <row r="130" spans="5:19" s="596" customFormat="1" x14ac:dyDescent="0.2">
      <c r="E130" s="590"/>
      <c r="F130" s="597"/>
      <c r="G130" s="533"/>
      <c r="H130" s="533"/>
      <c r="I130" s="545"/>
      <c r="J130" s="533"/>
      <c r="K130" s="533"/>
      <c r="L130" s="533"/>
      <c r="P130" s="599"/>
      <c r="Q130" s="599"/>
      <c r="R130" s="599"/>
      <c r="S130" s="599"/>
    </row>
    <row r="131" spans="5:19" s="596" customFormat="1" x14ac:dyDescent="0.2">
      <c r="E131" s="590"/>
      <c r="F131" s="597"/>
      <c r="G131" s="533"/>
      <c r="H131" s="533"/>
      <c r="I131" s="545"/>
      <c r="J131" s="533"/>
      <c r="K131" s="533"/>
      <c r="L131" s="533"/>
      <c r="P131" s="599"/>
      <c r="Q131" s="599"/>
      <c r="R131" s="599"/>
      <c r="S131" s="599"/>
    </row>
    <row r="132" spans="5:19" s="596" customFormat="1" x14ac:dyDescent="0.2">
      <c r="E132" s="590"/>
      <c r="F132" s="597"/>
      <c r="G132" s="533"/>
      <c r="H132" s="533"/>
      <c r="I132" s="545"/>
      <c r="J132" s="533"/>
      <c r="K132" s="533"/>
      <c r="L132" s="533"/>
      <c r="P132" s="599"/>
      <c r="Q132" s="599"/>
      <c r="R132" s="599"/>
      <c r="S132" s="599"/>
    </row>
    <row r="133" spans="5:19" s="596" customFormat="1" x14ac:dyDescent="0.2">
      <c r="E133" s="590"/>
      <c r="F133" s="597"/>
      <c r="G133" s="533"/>
      <c r="H133" s="533"/>
      <c r="I133" s="545"/>
      <c r="J133" s="533"/>
      <c r="K133" s="533"/>
      <c r="L133" s="533"/>
      <c r="P133" s="599"/>
      <c r="Q133" s="599"/>
      <c r="R133" s="599"/>
      <c r="S133" s="599"/>
    </row>
    <row r="134" spans="5:19" s="596" customFormat="1" x14ac:dyDescent="0.2">
      <c r="E134" s="590"/>
      <c r="F134" s="597"/>
      <c r="G134" s="533"/>
      <c r="H134" s="533"/>
      <c r="I134" s="545"/>
      <c r="J134" s="533"/>
      <c r="K134" s="533"/>
      <c r="L134" s="533"/>
      <c r="P134" s="599"/>
      <c r="Q134" s="599"/>
      <c r="R134" s="599"/>
      <c r="S134" s="599"/>
    </row>
    <row r="135" spans="5:19" s="596" customFormat="1" x14ac:dyDescent="0.2">
      <c r="E135" s="590"/>
      <c r="F135" s="597"/>
      <c r="G135" s="533"/>
      <c r="H135" s="533"/>
      <c r="I135" s="545"/>
      <c r="J135" s="533"/>
      <c r="K135" s="533"/>
      <c r="L135" s="533"/>
      <c r="P135" s="599"/>
      <c r="Q135" s="599"/>
      <c r="R135" s="599"/>
      <c r="S135" s="599"/>
    </row>
    <row r="136" spans="5:19" s="596" customFormat="1" x14ac:dyDescent="0.2">
      <c r="E136" s="590"/>
      <c r="F136" s="597"/>
      <c r="G136" s="533"/>
      <c r="H136" s="533"/>
      <c r="I136" s="545"/>
      <c r="J136" s="533"/>
      <c r="K136" s="533"/>
      <c r="L136" s="533"/>
      <c r="P136" s="599"/>
      <c r="Q136" s="599"/>
      <c r="R136" s="599"/>
      <c r="S136" s="599"/>
    </row>
    <row r="137" spans="5:19" s="596" customFormat="1" x14ac:dyDescent="0.2">
      <c r="E137" s="590"/>
      <c r="F137" s="597"/>
      <c r="G137" s="533"/>
      <c r="H137" s="533"/>
      <c r="I137" s="545"/>
      <c r="J137" s="533"/>
      <c r="K137" s="533"/>
      <c r="L137" s="533"/>
      <c r="P137" s="599"/>
      <c r="Q137" s="599"/>
      <c r="R137" s="599"/>
      <c r="S137" s="599"/>
    </row>
    <row r="138" spans="5:19" s="596" customFormat="1" x14ac:dyDescent="0.2">
      <c r="E138" s="590"/>
      <c r="F138" s="597"/>
      <c r="G138" s="533"/>
      <c r="H138" s="533"/>
      <c r="I138" s="545"/>
      <c r="J138" s="533"/>
      <c r="K138" s="533"/>
      <c r="L138" s="533"/>
      <c r="P138" s="599"/>
      <c r="Q138" s="599"/>
      <c r="R138" s="599"/>
      <c r="S138" s="599"/>
    </row>
    <row r="139" spans="5:19" s="596" customFormat="1" x14ac:dyDescent="0.2">
      <c r="E139" s="590"/>
      <c r="F139" s="597"/>
      <c r="G139" s="533"/>
      <c r="H139" s="533"/>
      <c r="I139" s="545"/>
      <c r="J139" s="533"/>
      <c r="K139" s="533"/>
      <c r="L139" s="533"/>
      <c r="P139" s="599"/>
      <c r="Q139" s="599"/>
      <c r="R139" s="599"/>
      <c r="S139" s="599"/>
    </row>
    <row r="140" spans="5:19" s="596" customFormat="1" x14ac:dyDescent="0.2">
      <c r="E140" s="590"/>
      <c r="F140" s="597"/>
      <c r="G140" s="533"/>
      <c r="H140" s="533"/>
      <c r="I140" s="545"/>
      <c r="J140" s="533"/>
      <c r="K140" s="533"/>
      <c r="L140" s="533"/>
      <c r="P140" s="599"/>
      <c r="Q140" s="599"/>
      <c r="R140" s="599"/>
      <c r="S140" s="599"/>
    </row>
    <row r="141" spans="5:19" s="596" customFormat="1" x14ac:dyDescent="0.2">
      <c r="E141" s="590"/>
      <c r="F141" s="597"/>
      <c r="G141" s="533"/>
      <c r="H141" s="533"/>
      <c r="I141" s="545"/>
      <c r="J141" s="533"/>
      <c r="K141" s="533"/>
      <c r="L141" s="533"/>
      <c r="P141" s="599"/>
      <c r="Q141" s="599"/>
      <c r="R141" s="599"/>
      <c r="S141" s="599"/>
    </row>
    <row r="142" spans="5:19" s="596" customFormat="1" x14ac:dyDescent="0.2">
      <c r="E142" s="590"/>
      <c r="F142" s="597"/>
      <c r="G142" s="533"/>
      <c r="H142" s="533"/>
      <c r="I142" s="545"/>
      <c r="J142" s="533"/>
      <c r="K142" s="533"/>
      <c r="L142" s="533"/>
      <c r="P142" s="599"/>
      <c r="Q142" s="599"/>
      <c r="R142" s="599"/>
      <c r="S142" s="599"/>
    </row>
    <row r="143" spans="5:19" s="596" customFormat="1" x14ac:dyDescent="0.2">
      <c r="E143" s="590"/>
      <c r="F143" s="597"/>
      <c r="G143" s="533"/>
      <c r="H143" s="533"/>
      <c r="I143" s="545"/>
      <c r="J143" s="533"/>
      <c r="K143" s="533"/>
      <c r="L143" s="533"/>
      <c r="P143" s="599"/>
      <c r="Q143" s="599"/>
      <c r="R143" s="599"/>
      <c r="S143" s="599"/>
    </row>
    <row r="144" spans="5:19" s="596" customFormat="1" x14ac:dyDescent="0.2">
      <c r="E144" s="590"/>
      <c r="F144" s="597"/>
      <c r="G144" s="533"/>
      <c r="H144" s="533"/>
      <c r="I144" s="545"/>
      <c r="J144" s="533"/>
      <c r="K144" s="533"/>
      <c r="L144" s="533"/>
      <c r="P144" s="599"/>
      <c r="Q144" s="599"/>
      <c r="R144" s="599"/>
      <c r="S144" s="599"/>
    </row>
    <row r="145" spans="1:19" s="596" customFormat="1" x14ac:dyDescent="0.2">
      <c r="E145" s="590"/>
      <c r="F145" s="597"/>
      <c r="G145" s="533"/>
      <c r="H145" s="533"/>
      <c r="I145" s="545"/>
      <c r="J145" s="533"/>
      <c r="K145" s="533"/>
      <c r="L145" s="533"/>
      <c r="P145" s="599"/>
      <c r="Q145" s="599"/>
      <c r="R145" s="599"/>
      <c r="S145" s="599"/>
    </row>
    <row r="146" spans="1:19" x14ac:dyDescent="0.2">
      <c r="A146" s="596"/>
      <c r="B146" s="596"/>
      <c r="C146" s="596"/>
      <c r="D146" s="596"/>
      <c r="E146" s="590"/>
      <c r="F146" s="597"/>
      <c r="G146" s="533"/>
      <c r="H146" s="533"/>
      <c r="I146" s="545"/>
      <c r="J146" s="533"/>
      <c r="K146" s="533"/>
      <c r="L146" s="533"/>
      <c r="M146" s="596"/>
      <c r="N146" s="596"/>
      <c r="O146" s="596"/>
      <c r="P146" s="599"/>
      <c r="Q146" s="599"/>
    </row>
    <row r="147" spans="1:19" x14ac:dyDescent="0.2">
      <c r="A147" s="596"/>
      <c r="B147" s="596"/>
      <c r="C147" s="596"/>
      <c r="D147" s="596"/>
      <c r="E147" s="590"/>
      <c r="F147" s="597"/>
      <c r="G147" s="533"/>
      <c r="H147" s="533"/>
      <c r="I147" s="545"/>
      <c r="J147" s="533"/>
      <c r="K147" s="533"/>
      <c r="L147" s="533"/>
      <c r="M147" s="596"/>
      <c r="N147" s="596"/>
      <c r="O147" s="596"/>
      <c r="P147" s="599"/>
      <c r="Q147" s="599"/>
    </row>
    <row r="148" spans="1:19" x14ac:dyDescent="0.2">
      <c r="A148" s="596"/>
      <c r="B148" s="596"/>
      <c r="C148" s="596"/>
      <c r="D148" s="596"/>
      <c r="E148" s="590"/>
      <c r="F148" s="597"/>
      <c r="G148" s="533"/>
      <c r="H148" s="533"/>
      <c r="I148" s="545"/>
      <c r="J148" s="533"/>
      <c r="K148" s="533"/>
      <c r="L148" s="533"/>
      <c r="M148" s="596"/>
      <c r="N148" s="596"/>
      <c r="O148" s="596"/>
      <c r="P148" s="599"/>
      <c r="Q148" s="599"/>
    </row>
    <row r="149" spans="1:19" x14ac:dyDescent="0.2">
      <c r="A149" s="596"/>
      <c r="B149" s="596"/>
      <c r="C149" s="596"/>
      <c r="D149" s="596"/>
      <c r="E149" s="590"/>
      <c r="F149" s="597"/>
      <c r="G149" s="533"/>
      <c r="H149" s="533"/>
      <c r="I149" s="545"/>
      <c r="J149" s="533"/>
      <c r="K149" s="533"/>
      <c r="L149" s="533"/>
      <c r="M149" s="596"/>
      <c r="N149" s="596"/>
      <c r="O149" s="596"/>
      <c r="P149" s="599"/>
      <c r="Q149" s="599"/>
    </row>
    <row r="150" spans="1:19" x14ac:dyDescent="0.2">
      <c r="A150" s="596"/>
      <c r="B150" s="596"/>
      <c r="C150" s="596"/>
      <c r="D150" s="596"/>
      <c r="E150" s="590"/>
      <c r="F150" s="597"/>
      <c r="G150" s="533"/>
      <c r="H150" s="533"/>
      <c r="I150" s="545"/>
      <c r="J150" s="533"/>
      <c r="K150" s="533"/>
      <c r="L150" s="533"/>
      <c r="M150" s="596"/>
      <c r="N150" s="596"/>
      <c r="O150" s="596"/>
      <c r="P150" s="599"/>
      <c r="Q150" s="599"/>
    </row>
    <row r="151" spans="1:19" x14ac:dyDescent="0.2">
      <c r="A151" s="596"/>
      <c r="B151" s="596"/>
      <c r="C151" s="596"/>
      <c r="D151" s="596"/>
      <c r="E151" s="590"/>
      <c r="F151" s="597"/>
      <c r="G151" s="533"/>
      <c r="H151" s="533"/>
      <c r="I151" s="545"/>
      <c r="J151" s="533"/>
      <c r="K151" s="533"/>
      <c r="L151" s="533"/>
      <c r="M151" s="596"/>
    </row>
    <row r="152" spans="1:19" x14ac:dyDescent="0.2">
      <c r="A152" s="596"/>
      <c r="B152" s="596"/>
      <c r="C152" s="596"/>
      <c r="D152" s="596"/>
      <c r="E152" s="590"/>
      <c r="F152" s="597"/>
      <c r="G152" s="533"/>
      <c r="H152" s="533"/>
      <c r="I152" s="545"/>
      <c r="J152" s="533"/>
      <c r="K152" s="533"/>
      <c r="L152" s="533"/>
      <c r="M152" s="596"/>
    </row>
    <row r="153" spans="1:19" x14ac:dyDescent="0.2">
      <c r="A153" s="596"/>
      <c r="B153" s="596"/>
      <c r="C153" s="596"/>
      <c r="D153" s="596"/>
      <c r="E153" s="590"/>
      <c r="F153" s="597"/>
      <c r="G153" s="533"/>
      <c r="H153" s="533"/>
      <c r="I153" s="545"/>
      <c r="J153" s="533"/>
      <c r="K153" s="533"/>
      <c r="L153" s="533"/>
      <c r="M153" s="596"/>
    </row>
    <row r="154" spans="1:19" x14ac:dyDescent="0.2">
      <c r="A154" s="596"/>
      <c r="B154" s="596"/>
      <c r="C154" s="596"/>
      <c r="D154" s="596"/>
      <c r="E154" s="590"/>
      <c r="F154" s="597"/>
      <c r="G154" s="533"/>
      <c r="H154" s="533"/>
      <c r="I154" s="545"/>
      <c r="J154" s="533"/>
      <c r="K154" s="533"/>
      <c r="L154" s="533"/>
      <c r="M154" s="596"/>
    </row>
    <row r="155" spans="1:19" x14ac:dyDescent="0.2">
      <c r="J155" s="533"/>
      <c r="K155" s="533"/>
      <c r="L155" s="533"/>
      <c r="M155" s="596"/>
    </row>
    <row r="156" spans="1:19" x14ac:dyDescent="0.2">
      <c r="J156" s="533"/>
      <c r="K156" s="533"/>
      <c r="L156" s="533"/>
      <c r="M156" s="596"/>
    </row>
    <row r="157" spans="1:19" x14ac:dyDescent="0.2">
      <c r="J157" s="533"/>
      <c r="K157" s="533"/>
      <c r="L157" s="533"/>
      <c r="M157" s="596"/>
    </row>
    <row r="158" spans="1:19" x14ac:dyDescent="0.2">
      <c r="J158" s="533"/>
      <c r="K158" s="533"/>
      <c r="L158" s="533"/>
      <c r="M158" s="596"/>
    </row>
    <row r="159" spans="1:19" x14ac:dyDescent="0.2">
      <c r="J159" s="533"/>
      <c r="K159" s="533"/>
      <c r="L159" s="533"/>
      <c r="M159" s="596"/>
    </row>
    <row r="160" spans="1:19" x14ac:dyDescent="0.2">
      <c r="J160" s="533"/>
      <c r="K160" s="533"/>
      <c r="L160" s="533"/>
      <c r="M160" s="596"/>
    </row>
    <row r="161" spans="11:13" x14ac:dyDescent="0.2">
      <c r="K161" s="533"/>
      <c r="L161" s="533"/>
      <c r="M161" s="596"/>
    </row>
    <row r="162" spans="11:13" x14ac:dyDescent="0.2">
      <c r="K162" s="533"/>
      <c r="L162" s="533"/>
      <c r="M162" s="596"/>
    </row>
    <row r="163" spans="11:13" x14ac:dyDescent="0.2">
      <c r="K163" s="533"/>
      <c r="L163" s="533"/>
      <c r="M163" s="596"/>
    </row>
    <row r="164" spans="11:13" x14ac:dyDescent="0.2">
      <c r="L164" s="533"/>
      <c r="M164" s="596"/>
    </row>
    <row r="165" spans="11:13" x14ac:dyDescent="0.2">
      <c r="L165" s="533"/>
      <c r="M165" s="596"/>
    </row>
    <row r="166" spans="11:13" x14ac:dyDescent="0.2">
      <c r="L166" s="533"/>
    </row>
    <row r="167" spans="11:13" x14ac:dyDescent="0.2">
      <c r="L167" s="533"/>
    </row>
    <row r="168" spans="11:13" x14ac:dyDescent="0.2">
      <c r="L168" s="533"/>
    </row>
  </sheetData>
  <mergeCells count="5">
    <mergeCell ref="A7:L7"/>
    <mergeCell ref="M7:O7"/>
    <mergeCell ref="U7:V7"/>
    <mergeCell ref="D9:F9"/>
    <mergeCell ref="H9:K9"/>
  </mergeCells>
  <conditionalFormatting sqref="P57:P73 Z9:Z56">
    <cfRule type="aboveAverage" dxfId="5" priority="1" aboveAverage="0" stdDev="1"/>
    <cfRule type="aboveAverage" dxfId="4" priority="2" stdDev="1"/>
  </conditionalFormatting>
  <dataValidations count="1">
    <dataValidation type="list" allowBlank="1" showInputMessage="1" showErrorMessage="1" sqref="B5" xr:uid="{457EF172-41C1-445D-AE17-20FEA8D07E84}">
      <formula1>$AB$5:$AB$8</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F8E62-BB68-4C59-AB7C-DEB878C78AE2}">
  <dimension ref="A1:Z168"/>
  <sheetViews>
    <sheetView workbookViewId="0">
      <selection activeCell="R43" sqref="R43"/>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6" width="7.6640625" style="600" customWidth="1"/>
    <col min="7" max="7" width="12" style="596" bestFit="1" customWidth="1"/>
    <col min="8" max="8" width="9.33203125" style="599" customWidth="1"/>
    <col min="9" max="9" width="12" style="596" bestFit="1" customWidth="1"/>
    <col min="10" max="10" width="8.44140625" style="596" bestFit="1" customWidth="1"/>
    <col min="11" max="11" width="8.44140625" style="590" bestFit="1" customWidth="1"/>
    <col min="12" max="12" width="13.6640625" style="597" bestFit="1" customWidth="1"/>
    <col min="13" max="13" width="6.33203125" style="533" bestFit="1" customWidth="1"/>
    <col min="14" max="14" width="5.6640625" style="533" bestFit="1" customWidth="1"/>
    <col min="15" max="15" width="5.88671875" style="545" bestFit="1" customWidth="1"/>
    <col min="16" max="16" width="5.88671875" style="426" bestFit="1" customWidth="1"/>
    <col min="17" max="17" width="14" style="593" bestFit="1" customWidth="1"/>
    <col min="18" max="18" width="6" style="593" bestFit="1" customWidth="1"/>
    <col min="19" max="19" width="8.6640625" style="593" bestFit="1" customWidth="1"/>
    <col min="20" max="21" width="17.33203125" style="533" bestFit="1" customWidth="1"/>
    <col min="22" max="22" width="9.33203125" style="533" bestFit="1" customWidth="1"/>
    <col min="23" max="27" width="5.33203125" style="533" customWidth="1"/>
    <col min="28" max="28" width="17" style="533" customWidth="1"/>
    <col min="29" max="16384" width="7.88671875" style="533"/>
  </cols>
  <sheetData>
    <row r="1" spans="1:24" s="369" customFormat="1" ht="13.2" x14ac:dyDescent="0.25">
      <c r="A1" s="361" t="s">
        <v>104</v>
      </c>
      <c r="B1" s="362" t="s">
        <v>159</v>
      </c>
      <c r="C1" s="363"/>
      <c r="D1" s="362"/>
      <c r="E1" s="364"/>
      <c r="F1" s="364"/>
      <c r="G1" s="365"/>
      <c r="H1" s="366" t="s">
        <v>105</v>
      </c>
      <c r="I1" s="367">
        <f>C43</f>
        <v>1100</v>
      </c>
      <c r="J1" s="368"/>
      <c r="K1" s="362"/>
      <c r="L1" s="362"/>
      <c r="N1" s="370"/>
      <c r="P1" s="371"/>
      <c r="Q1" s="371"/>
      <c r="R1" s="371"/>
      <c r="S1" s="371"/>
    </row>
    <row r="2" spans="1:24" s="369" customFormat="1" ht="13.2" x14ac:dyDescent="0.25">
      <c r="A2" s="372" t="s">
        <v>106</v>
      </c>
      <c r="B2" s="362" t="s">
        <v>191</v>
      </c>
      <c r="C2" s="373"/>
      <c r="D2" s="362"/>
      <c r="E2" s="374"/>
      <c r="F2" s="374"/>
      <c r="G2" s="375"/>
      <c r="H2" s="376" t="s">
        <v>107</v>
      </c>
      <c r="I2" s="377">
        <f>V12</f>
        <v>952</v>
      </c>
      <c r="J2" s="378"/>
      <c r="K2" s="362"/>
      <c r="L2" s="362"/>
      <c r="N2" s="379"/>
      <c r="P2" s="371"/>
      <c r="Q2" s="371"/>
      <c r="R2" s="371"/>
      <c r="S2" s="371"/>
    </row>
    <row r="3" spans="1:24" s="383" customFormat="1" ht="11.25" customHeight="1" x14ac:dyDescent="0.25">
      <c r="A3" s="380" t="s">
        <v>108</v>
      </c>
      <c r="B3" s="632">
        <v>45785</v>
      </c>
      <c r="C3" s="373"/>
      <c r="D3" s="374"/>
      <c r="E3" s="374"/>
      <c r="F3" s="374"/>
      <c r="G3" s="375"/>
      <c r="H3" s="380" t="s">
        <v>109</v>
      </c>
      <c r="I3" s="382">
        <f>V52/100</f>
        <v>9.52</v>
      </c>
      <c r="J3" s="378"/>
      <c r="K3" s="362"/>
      <c r="L3" s="362"/>
      <c r="N3" s="384"/>
      <c r="P3" s="385"/>
      <c r="Q3" s="385"/>
      <c r="R3" s="385"/>
      <c r="S3" s="385"/>
    </row>
    <row r="4" spans="1:24" s="369" customFormat="1" ht="13.2" x14ac:dyDescent="0.25">
      <c r="A4" s="380" t="s">
        <v>110</v>
      </c>
      <c r="B4" s="381" t="s">
        <v>219</v>
      </c>
      <c r="C4" s="373"/>
      <c r="D4" s="374"/>
      <c r="E4" s="374"/>
      <c r="F4" s="374"/>
      <c r="G4" s="375"/>
      <c r="H4" s="380" t="s">
        <v>111</v>
      </c>
      <c r="I4" s="386">
        <f>S40</f>
        <v>0.4554775765605843</v>
      </c>
      <c r="J4" s="378"/>
      <c r="K4" s="362"/>
      <c r="L4" s="362"/>
      <c r="M4" s="370"/>
      <c r="N4" s="370"/>
      <c r="P4" s="371"/>
      <c r="Q4" s="371"/>
      <c r="R4" s="371"/>
      <c r="S4" s="371"/>
    </row>
    <row r="5" spans="1:24" s="390" customFormat="1" ht="13.2" x14ac:dyDescent="0.25">
      <c r="A5" s="372" t="s">
        <v>112</v>
      </c>
      <c r="B5" s="387" t="s">
        <v>113</v>
      </c>
      <c r="C5" s="373"/>
      <c r="D5" s="374"/>
      <c r="E5" s="374"/>
      <c r="F5" s="374"/>
      <c r="G5" s="375"/>
      <c r="H5" s="380" t="s">
        <v>272</v>
      </c>
      <c r="I5" s="899">
        <f>I4*I2/100</f>
        <v>4.3361465288567622</v>
      </c>
      <c r="J5" s="378"/>
      <c r="K5" s="362"/>
      <c r="L5" s="362"/>
      <c r="M5" s="389"/>
      <c r="N5" s="389"/>
      <c r="P5" s="391"/>
      <c r="Q5" s="391"/>
      <c r="R5" s="391"/>
      <c r="S5" s="391"/>
    </row>
    <row r="6" spans="1:24" s="389" customFormat="1" ht="13.8" thickBot="1" x14ac:dyDescent="0.25">
      <c r="A6" s="392"/>
      <c r="B6" s="393"/>
      <c r="C6" s="394"/>
      <c r="D6" s="395"/>
      <c r="E6" s="395"/>
      <c r="F6" s="395"/>
      <c r="G6" s="396"/>
      <c r="H6" s="397"/>
      <c r="I6" s="398"/>
      <c r="J6" s="396"/>
      <c r="K6" s="393"/>
      <c r="L6" s="393"/>
      <c r="M6" s="399"/>
      <c r="P6" s="400"/>
      <c r="Q6" s="400"/>
      <c r="R6" s="400"/>
      <c r="S6" s="400"/>
    </row>
    <row r="7" spans="1:24" s="390" customFormat="1" ht="13.2" customHeight="1" x14ac:dyDescent="0.2">
      <c r="A7" s="952" t="s">
        <v>114</v>
      </c>
      <c r="B7" s="953"/>
      <c r="C7" s="953"/>
      <c r="D7" s="953"/>
      <c r="E7" s="953"/>
      <c r="F7" s="953"/>
      <c r="G7" s="953"/>
      <c r="H7" s="953"/>
      <c r="I7" s="953"/>
      <c r="J7" s="953"/>
      <c r="K7" s="953"/>
      <c r="L7" s="953"/>
      <c r="M7" s="954" t="s">
        <v>115</v>
      </c>
      <c r="N7" s="955"/>
      <c r="O7" s="956"/>
      <c r="P7" s="401" t="s">
        <v>116</v>
      </c>
      <c r="Q7" s="402"/>
      <c r="R7" s="401" t="s">
        <v>117</v>
      </c>
      <c r="S7" s="401"/>
      <c r="T7" s="403"/>
      <c r="U7" s="950" t="s">
        <v>118</v>
      </c>
      <c r="V7" s="951"/>
      <c r="W7" s="389"/>
      <c r="X7" s="389"/>
    </row>
    <row r="8" spans="1:24" s="420" customFormat="1" x14ac:dyDescent="0.2">
      <c r="A8" s="404"/>
      <c r="B8" s="399"/>
      <c r="C8" s="405"/>
      <c r="D8" s="406"/>
      <c r="E8" s="407"/>
      <c r="F8" s="408"/>
      <c r="G8" s="409"/>
      <c r="H8" s="410"/>
      <c r="I8" s="410"/>
      <c r="J8" s="410"/>
      <c r="K8" s="410"/>
      <c r="L8" s="411"/>
      <c r="M8" s="412"/>
      <c r="N8" s="413"/>
      <c r="O8" s="414"/>
      <c r="P8" s="415"/>
      <c r="Q8" s="416"/>
      <c r="R8" s="415"/>
      <c r="S8" s="415"/>
      <c r="T8" s="417"/>
      <c r="U8" s="418"/>
      <c r="V8" s="418"/>
      <c r="W8" s="419"/>
    </row>
    <row r="9" spans="1:24" s="431" customFormat="1" ht="13.2" customHeight="1" x14ac:dyDescent="0.2">
      <c r="A9" s="421"/>
      <c r="B9" s="389"/>
      <c r="C9" s="422"/>
      <c r="D9" s="957" t="s">
        <v>119</v>
      </c>
      <c r="E9" s="958"/>
      <c r="F9" s="959"/>
      <c r="G9" s="423"/>
      <c r="H9" s="960" t="s">
        <v>120</v>
      </c>
      <c r="I9" s="961"/>
      <c r="J9" s="961"/>
      <c r="K9" s="962"/>
      <c r="L9" s="633"/>
      <c r="M9" s="425"/>
      <c r="N9" s="413" t="s">
        <v>121</v>
      </c>
      <c r="O9" s="414"/>
      <c r="P9" s="415"/>
      <c r="Q9" s="416"/>
      <c r="R9" s="426"/>
      <c r="S9" s="426"/>
      <c r="T9" s="417"/>
      <c r="U9" s="427"/>
      <c r="V9" s="428"/>
      <c r="W9" s="429"/>
      <c r="X9" s="430"/>
    </row>
    <row r="10" spans="1:24" s="431" customFormat="1" x14ac:dyDescent="0.2">
      <c r="A10" s="432" t="s">
        <v>122</v>
      </c>
      <c r="B10" s="433" t="s">
        <v>51</v>
      </c>
      <c r="C10" s="434" t="s">
        <v>123</v>
      </c>
      <c r="D10" s="435" t="s">
        <v>124</v>
      </c>
      <c r="E10" s="436" t="s">
        <v>125</v>
      </c>
      <c r="F10" s="437" t="s">
        <v>126</v>
      </c>
      <c r="G10" s="423" t="s">
        <v>127</v>
      </c>
      <c r="H10" s="634" t="s">
        <v>128</v>
      </c>
      <c r="I10" s="634" t="s">
        <v>129</v>
      </c>
      <c r="J10" s="634" t="s">
        <v>130</v>
      </c>
      <c r="K10" s="634" t="s">
        <v>131</v>
      </c>
      <c r="L10" s="633" t="s">
        <v>132</v>
      </c>
      <c r="M10" s="439" t="s">
        <v>133</v>
      </c>
      <c r="N10" s="440" t="s">
        <v>134</v>
      </c>
      <c r="O10" s="441" t="s">
        <v>135</v>
      </c>
      <c r="P10" s="442" t="s">
        <v>136</v>
      </c>
      <c r="Q10" s="416" t="s">
        <v>137</v>
      </c>
      <c r="R10" s="442" t="s">
        <v>137</v>
      </c>
      <c r="S10" s="442" t="s">
        <v>136</v>
      </c>
      <c r="T10" s="443" t="s">
        <v>138</v>
      </c>
      <c r="U10" s="427" t="s">
        <v>139</v>
      </c>
      <c r="V10" s="427" t="s">
        <v>140</v>
      </c>
      <c r="W10" s="444"/>
    </row>
    <row r="11" spans="1:24" s="431" customFormat="1" ht="12" thickBot="1" x14ac:dyDescent="0.25">
      <c r="A11" s="445" t="s">
        <v>141</v>
      </c>
      <c r="B11" s="446" t="s">
        <v>141</v>
      </c>
      <c r="C11" s="447" t="s">
        <v>142</v>
      </c>
      <c r="D11" s="448" t="s">
        <v>143</v>
      </c>
      <c r="E11" s="449" t="s">
        <v>143</v>
      </c>
      <c r="F11" s="450" t="s">
        <v>143</v>
      </c>
      <c r="G11" s="451" t="s">
        <v>143</v>
      </c>
      <c r="H11" s="452" t="s">
        <v>143</v>
      </c>
      <c r="I11" s="452" t="s">
        <v>143</v>
      </c>
      <c r="J11" s="452" t="s">
        <v>143</v>
      </c>
      <c r="K11" s="452" t="s">
        <v>143</v>
      </c>
      <c r="L11" s="453" t="s">
        <v>143</v>
      </c>
      <c r="M11" s="454" t="s">
        <v>144</v>
      </c>
      <c r="N11" s="455" t="s">
        <v>142</v>
      </c>
      <c r="O11" s="456" t="s">
        <v>142</v>
      </c>
      <c r="P11" s="457" t="s">
        <v>145</v>
      </c>
      <c r="Q11" s="458" t="s">
        <v>146</v>
      </c>
      <c r="R11" s="459" t="s">
        <v>36</v>
      </c>
      <c r="S11" s="459" t="s">
        <v>147</v>
      </c>
      <c r="T11" s="460"/>
      <c r="U11" s="461"/>
      <c r="V11" s="462" t="s">
        <v>143</v>
      </c>
      <c r="W11" s="444"/>
    </row>
    <row r="12" spans="1:2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71"/>
      <c r="N12" s="472"/>
      <c r="O12" s="473"/>
      <c r="P12" s="474"/>
      <c r="Q12" s="475"/>
      <c r="R12" s="476"/>
      <c r="S12" s="477"/>
      <c r="T12" s="478"/>
      <c r="U12" s="479" t="s">
        <v>161</v>
      </c>
      <c r="V12" s="480">
        <v>952</v>
      </c>
      <c r="W12" s="481"/>
    </row>
    <row r="13" spans="1:24" s="431" customFormat="1" x14ac:dyDescent="0.3">
      <c r="A13" s="482">
        <v>220</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(C13+C14-10)/2</f>
        <v>10</v>
      </c>
      <c r="P13" s="491">
        <f t="shared" ref="P13" si="0">(A13-B13)/M13</f>
        <v>0.22</v>
      </c>
      <c r="Q13" s="492">
        <f t="shared" ref="Q13" si="1">(P13*(O13-N13))/100</f>
        <v>2.2000000000000002E-2</v>
      </c>
      <c r="R13" s="493">
        <f>SUM(Q$13:Q13)</f>
        <v>2.2000000000000002E-2</v>
      </c>
      <c r="S13" s="494">
        <f t="shared" ref="S13:S21" si="2">R13/O13*100</f>
        <v>0.22</v>
      </c>
      <c r="T13" s="495"/>
      <c r="U13" s="496"/>
      <c r="V13" s="497"/>
      <c r="W13" s="444"/>
    </row>
    <row r="14" spans="1:24" s="431" customFormat="1" x14ac:dyDescent="0.3">
      <c r="A14" s="482">
        <v>240</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 t="shared" ref="N14:N20" si="3">C13</f>
        <v>10</v>
      </c>
      <c r="O14" s="490">
        <f t="shared" ref="O14:O20" si="4">(C14+C15-10)/2</f>
        <v>20</v>
      </c>
      <c r="P14" s="491">
        <f t="shared" ref="P14:P20" si="5">(A14-B14)/M14</f>
        <v>0.24</v>
      </c>
      <c r="Q14" s="492">
        <f t="shared" ref="Q14:Q20" si="6">(P14*(O14-N14))/100</f>
        <v>2.4E-2</v>
      </c>
      <c r="R14" s="493">
        <f>SUM(Q$13:Q14)</f>
        <v>4.5999999999999999E-2</v>
      </c>
      <c r="S14" s="494">
        <f t="shared" ref="S14:S20" si="7">R14/O14*100</f>
        <v>0.22999999999999998</v>
      </c>
      <c r="T14" s="495"/>
      <c r="U14" s="496"/>
      <c r="V14" s="497"/>
      <c r="W14" s="444"/>
    </row>
    <row r="15" spans="1:24" s="431" customFormat="1" x14ac:dyDescent="0.3">
      <c r="A15" s="482">
        <v>255</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 t="shared" si="3"/>
        <v>20</v>
      </c>
      <c r="O15" s="490">
        <f t="shared" si="4"/>
        <v>30</v>
      </c>
      <c r="P15" s="491">
        <f t="shared" si="5"/>
        <v>0.255</v>
      </c>
      <c r="Q15" s="492">
        <f t="shared" si="6"/>
        <v>2.5499999999999998E-2</v>
      </c>
      <c r="R15" s="493">
        <f>SUM(Q$13:Q15)</f>
        <v>7.1499999999999994E-2</v>
      </c>
      <c r="S15" s="494">
        <f t="shared" si="7"/>
        <v>0.23833333333333331</v>
      </c>
      <c r="T15" s="495"/>
      <c r="U15" s="496"/>
      <c r="V15" s="497"/>
      <c r="W15" s="444"/>
    </row>
    <row r="16" spans="1:24" s="431" customFormat="1" x14ac:dyDescent="0.3">
      <c r="A16" s="482">
        <v>235</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 t="shared" si="3"/>
        <v>30</v>
      </c>
      <c r="O16" s="490">
        <f t="shared" si="4"/>
        <v>40</v>
      </c>
      <c r="P16" s="491">
        <f t="shared" si="5"/>
        <v>0.23499999999999999</v>
      </c>
      <c r="Q16" s="492">
        <f t="shared" si="6"/>
        <v>2.3499999999999997E-2</v>
      </c>
      <c r="R16" s="493">
        <f>SUM(Q$13:Q16)</f>
        <v>9.4999999999999987E-2</v>
      </c>
      <c r="S16" s="494">
        <f t="shared" si="7"/>
        <v>0.23749999999999996</v>
      </c>
      <c r="T16" s="495"/>
      <c r="U16" s="496"/>
      <c r="V16" s="498"/>
      <c r="W16" s="444"/>
    </row>
    <row r="17" spans="1:25" s="431" customFormat="1" x14ac:dyDescent="0.3">
      <c r="A17" s="499">
        <v>295</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 t="shared" si="3"/>
        <v>40</v>
      </c>
      <c r="O17" s="490">
        <f t="shared" si="4"/>
        <v>50</v>
      </c>
      <c r="P17" s="491">
        <f t="shared" si="5"/>
        <v>0.29499999999999998</v>
      </c>
      <c r="Q17" s="492">
        <f t="shared" si="6"/>
        <v>2.9499999999999998E-2</v>
      </c>
      <c r="R17" s="493">
        <f>SUM(Q$13:Q17)</f>
        <v>0.12449999999999999</v>
      </c>
      <c r="S17" s="494">
        <f t="shared" si="7"/>
        <v>0.24899999999999997</v>
      </c>
      <c r="T17" s="495"/>
      <c r="U17" s="496"/>
      <c r="V17" s="497"/>
      <c r="W17" s="444"/>
    </row>
    <row r="18" spans="1:25" s="431" customFormat="1" x14ac:dyDescent="0.3">
      <c r="A18" s="499">
        <v>300</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 t="shared" si="3"/>
        <v>50</v>
      </c>
      <c r="O18" s="490">
        <f t="shared" si="4"/>
        <v>60</v>
      </c>
      <c r="P18" s="491">
        <f t="shared" si="5"/>
        <v>0.3</v>
      </c>
      <c r="Q18" s="492">
        <f t="shared" si="6"/>
        <v>0.03</v>
      </c>
      <c r="R18" s="493">
        <f>SUM(Q$13:Q18)</f>
        <v>0.15449999999999997</v>
      </c>
      <c r="S18" s="494">
        <f t="shared" si="7"/>
        <v>0.25749999999999995</v>
      </c>
      <c r="T18" s="495" t="s">
        <v>151</v>
      </c>
      <c r="U18" s="496"/>
      <c r="V18" s="497"/>
      <c r="W18" s="429"/>
    </row>
    <row r="19" spans="1:25" s="431" customFormat="1" x14ac:dyDescent="0.3">
      <c r="A19" s="499">
        <v>305</v>
      </c>
      <c r="B19" s="483">
        <v>0</v>
      </c>
      <c r="C19" s="471">
        <v>70</v>
      </c>
      <c r="D19" s="484" t="s">
        <v>149</v>
      </c>
      <c r="E19" s="485" t="s">
        <v>149</v>
      </c>
      <c r="F19" s="486" t="s">
        <v>149</v>
      </c>
      <c r="G19" s="487" t="s">
        <v>149</v>
      </c>
      <c r="H19" s="485" t="s">
        <v>149</v>
      </c>
      <c r="I19" s="485" t="s">
        <v>149</v>
      </c>
      <c r="J19" s="485" t="s">
        <v>149</v>
      </c>
      <c r="K19" s="485" t="s">
        <v>149</v>
      </c>
      <c r="L19" s="488" t="s">
        <v>149</v>
      </c>
      <c r="M19" s="471">
        <v>1000</v>
      </c>
      <c r="N19" s="489">
        <f t="shared" si="3"/>
        <v>60</v>
      </c>
      <c r="O19" s="490">
        <f t="shared" si="4"/>
        <v>70</v>
      </c>
      <c r="P19" s="491">
        <f t="shared" si="5"/>
        <v>0.30499999999999999</v>
      </c>
      <c r="Q19" s="492">
        <f t="shared" si="6"/>
        <v>3.0499999999999999E-2</v>
      </c>
      <c r="R19" s="493">
        <f>SUM(Q$13:Q19)</f>
        <v>0.18499999999999997</v>
      </c>
      <c r="S19" s="494">
        <f t="shared" si="7"/>
        <v>0.26428571428571423</v>
      </c>
      <c r="T19" s="495"/>
      <c r="U19" s="496"/>
      <c r="V19" s="497"/>
      <c r="W19" s="429"/>
    </row>
    <row r="20" spans="1:25" s="431" customFormat="1" x14ac:dyDescent="0.3">
      <c r="A20" s="499">
        <v>305</v>
      </c>
      <c r="B20" s="483">
        <v>0</v>
      </c>
      <c r="C20" s="471">
        <v>80</v>
      </c>
      <c r="D20" s="484" t="s">
        <v>149</v>
      </c>
      <c r="E20" s="485" t="s">
        <v>149</v>
      </c>
      <c r="F20" s="486" t="s">
        <v>149</v>
      </c>
      <c r="G20" s="487" t="s">
        <v>149</v>
      </c>
      <c r="H20" s="485" t="s">
        <v>149</v>
      </c>
      <c r="I20" s="485" t="s">
        <v>149</v>
      </c>
      <c r="J20" s="485" t="s">
        <v>149</v>
      </c>
      <c r="K20" s="485" t="s">
        <v>149</v>
      </c>
      <c r="L20" s="488" t="s">
        <v>149</v>
      </c>
      <c r="M20" s="471">
        <v>1000</v>
      </c>
      <c r="N20" s="489">
        <f t="shared" si="3"/>
        <v>70</v>
      </c>
      <c r="O20" s="490">
        <f t="shared" si="4"/>
        <v>80</v>
      </c>
      <c r="P20" s="491">
        <f t="shared" si="5"/>
        <v>0.30499999999999999</v>
      </c>
      <c r="Q20" s="492">
        <f t="shared" si="6"/>
        <v>3.0499999999999999E-2</v>
      </c>
      <c r="R20" s="493">
        <f>SUM(Q$13:Q20)</f>
        <v>0.21549999999999997</v>
      </c>
      <c r="S20" s="494">
        <f t="shared" si="7"/>
        <v>0.26937499999999998</v>
      </c>
      <c r="T20" s="495"/>
      <c r="U20" s="496"/>
      <c r="V20" s="497"/>
      <c r="W20" s="429"/>
    </row>
    <row r="21" spans="1:25" s="431" customFormat="1" x14ac:dyDescent="0.3">
      <c r="A21" s="499">
        <v>290</v>
      </c>
      <c r="B21" s="483">
        <v>0</v>
      </c>
      <c r="C21" s="471">
        <v>90</v>
      </c>
      <c r="D21" s="484" t="s">
        <v>149</v>
      </c>
      <c r="E21" s="485" t="s">
        <v>149</v>
      </c>
      <c r="F21" s="486" t="s">
        <v>149</v>
      </c>
      <c r="G21" s="487" t="s">
        <v>149</v>
      </c>
      <c r="H21" s="485" t="s">
        <v>149</v>
      </c>
      <c r="I21" s="485" t="s">
        <v>149</v>
      </c>
      <c r="J21" s="485" t="s">
        <v>149</v>
      </c>
      <c r="K21" s="485" t="s">
        <v>149</v>
      </c>
      <c r="L21" s="488" t="s">
        <v>149</v>
      </c>
      <c r="M21" s="471">
        <v>1000</v>
      </c>
      <c r="N21" s="489">
        <f>(C20+C21-10)/2</f>
        <v>80</v>
      </c>
      <c r="O21" s="490">
        <f>(C21+C24-G24)/2</f>
        <v>94</v>
      </c>
      <c r="P21" s="491">
        <f>(A21-B21)/M21</f>
        <v>0.28999999999999998</v>
      </c>
      <c r="Q21" s="492">
        <f>(P21*(O21-N21))/100</f>
        <v>4.0599999999999997E-2</v>
      </c>
      <c r="R21" s="493">
        <f>SUM(Q$13:Q21)</f>
        <v>0.25609999999999999</v>
      </c>
      <c r="S21" s="494">
        <f t="shared" si="2"/>
        <v>0.27244680851063829</v>
      </c>
      <c r="T21" s="500"/>
      <c r="U21" s="496"/>
      <c r="V21" s="497"/>
      <c r="W21" s="429"/>
    </row>
    <row r="22" spans="1:25" s="504" customFormat="1" ht="10.8" thickBot="1" x14ac:dyDescent="0.35">
      <c r="A22" s="507"/>
      <c r="B22" s="508"/>
      <c r="C22" s="509"/>
      <c r="D22" s="510"/>
      <c r="E22" s="509"/>
      <c r="F22" s="511"/>
      <c r="G22" s="512"/>
      <c r="H22" s="509"/>
      <c r="I22" s="509"/>
      <c r="J22" s="509"/>
      <c r="K22" s="509"/>
      <c r="L22" s="513"/>
      <c r="M22" s="509"/>
      <c r="N22" s="514"/>
      <c r="O22" s="515"/>
      <c r="P22" s="516"/>
      <c r="Q22" s="517"/>
      <c r="R22" s="518"/>
      <c r="S22" s="519"/>
      <c r="T22" s="520"/>
      <c r="U22" s="496"/>
      <c r="V22" s="521"/>
      <c r="W22" s="522"/>
    </row>
    <row r="23" spans="1:25" s="504" customFormat="1" x14ac:dyDescent="0.3">
      <c r="A23" s="523" t="s">
        <v>152</v>
      </c>
      <c r="B23" s="483"/>
      <c r="C23" s="471"/>
      <c r="D23" s="524"/>
      <c r="E23" s="471"/>
      <c r="F23" s="525"/>
      <c r="G23" s="526"/>
      <c r="H23" s="471"/>
      <c r="I23" s="471"/>
      <c r="J23" s="471"/>
      <c r="K23" s="471"/>
      <c r="L23" s="527"/>
      <c r="M23" s="471"/>
      <c r="N23" s="489"/>
      <c r="O23" s="490"/>
      <c r="P23" s="491"/>
      <c r="Q23" s="492"/>
      <c r="R23" s="493"/>
      <c r="S23" s="494"/>
      <c r="T23" s="505"/>
      <c r="U23" s="496"/>
      <c r="V23" s="521"/>
      <c r="W23" s="522"/>
    </row>
    <row r="24" spans="1:25" s="504" customFormat="1" x14ac:dyDescent="0.3">
      <c r="A24" s="499">
        <v>770</v>
      </c>
      <c r="B24" s="483">
        <v>0</v>
      </c>
      <c r="C24" s="471">
        <v>185</v>
      </c>
      <c r="D24" s="528">
        <v>87</v>
      </c>
      <c r="E24" s="529"/>
      <c r="F24" s="530"/>
      <c r="G24" s="531">
        <f t="shared" ref="G24:G43" si="8">AVERAGE(D24:F24)</f>
        <v>87</v>
      </c>
      <c r="H24" s="529">
        <v>5.7</v>
      </c>
      <c r="I24" s="529"/>
      <c r="J24" s="529"/>
      <c r="K24" s="529"/>
      <c r="L24" s="532">
        <f t="shared" ref="L24:L33" si="9">AVERAGE(H24:K24)</f>
        <v>5.7</v>
      </c>
      <c r="M24" s="471">
        <f>G24*    PI()* (L24/2)^2</f>
        <v>2220.0300106041291</v>
      </c>
      <c r="N24" s="489">
        <f>(C21+C24-G24)/2</f>
        <v>94</v>
      </c>
      <c r="O24" s="490">
        <f>(C24+C25-G25)/2</f>
        <v>186</v>
      </c>
      <c r="P24" s="491">
        <f>(A24-B24)/M24</f>
        <v>0.34684215813391756</v>
      </c>
      <c r="Q24" s="492">
        <f t="shared" ref="Q24:Q33" si="10">(P24*(O24-N24))/100</f>
        <v>0.31909478548320414</v>
      </c>
      <c r="R24" s="493">
        <f>SUM(Q$13:Q24)</f>
        <v>0.57519478548320413</v>
      </c>
      <c r="S24" s="494">
        <f t="shared" ref="S24:S33" si="11">R24/O24*100</f>
        <v>0.30924450832430328</v>
      </c>
      <c r="T24" s="505"/>
      <c r="U24" s="496"/>
      <c r="V24" s="521"/>
      <c r="W24" s="522"/>
    </row>
    <row r="25" spans="1:25" s="504" customFormat="1" x14ac:dyDescent="0.3">
      <c r="A25" s="499">
        <v>700</v>
      </c>
      <c r="B25" s="483">
        <v>0</v>
      </c>
      <c r="C25" s="471">
        <v>256</v>
      </c>
      <c r="D25" s="528">
        <v>69</v>
      </c>
      <c r="E25" s="529"/>
      <c r="F25" s="530"/>
      <c r="G25" s="531">
        <f t="shared" si="8"/>
        <v>69</v>
      </c>
      <c r="H25" s="529">
        <v>5.7</v>
      </c>
      <c r="I25" s="529"/>
      <c r="J25" s="529"/>
      <c r="K25" s="529"/>
      <c r="L25" s="532">
        <f t="shared" si="9"/>
        <v>5.7</v>
      </c>
      <c r="M25" s="471">
        <f t="shared" ref="M25:M33" si="12">G25*    PI()* (L25/2)^2</f>
        <v>1760.7134566860336</v>
      </c>
      <c r="N25" s="489">
        <f>(C24+C25-G25)/2</f>
        <v>186</v>
      </c>
      <c r="O25" s="490">
        <f>(C25+C26-G26)/2</f>
        <v>255.75</v>
      </c>
      <c r="P25" s="491">
        <f>(A25-B25)/M25</f>
        <v>0.39756611011397658</v>
      </c>
      <c r="Q25" s="492">
        <f t="shared" si="10"/>
        <v>0.27730236180449869</v>
      </c>
      <c r="R25" s="493">
        <f>SUM(Q$13:Q25)</f>
        <v>0.85249714728770276</v>
      </c>
      <c r="S25" s="494">
        <f t="shared" si="11"/>
        <v>0.33333221790330508</v>
      </c>
      <c r="T25" s="505"/>
      <c r="U25" s="496"/>
      <c r="V25" s="497"/>
      <c r="W25" s="522"/>
    </row>
    <row r="26" spans="1:25" s="504" customFormat="1" x14ac:dyDescent="0.3">
      <c r="A26" s="499">
        <v>840</v>
      </c>
      <c r="B26" s="483">
        <v>0</v>
      </c>
      <c r="C26" s="471">
        <v>337</v>
      </c>
      <c r="D26" s="528">
        <v>81.5</v>
      </c>
      <c r="E26" s="529"/>
      <c r="F26" s="530"/>
      <c r="G26" s="531">
        <f t="shared" si="8"/>
        <v>81.5</v>
      </c>
      <c r="H26" s="529">
        <v>5.7</v>
      </c>
      <c r="I26" s="529"/>
      <c r="J26" s="529"/>
      <c r="K26" s="529"/>
      <c r="L26" s="532">
        <f t="shared" si="9"/>
        <v>5.7</v>
      </c>
      <c r="M26" s="471">
        <f t="shared" si="12"/>
        <v>2079.683285795822</v>
      </c>
      <c r="N26" s="489">
        <f>(C25+C26-G26)/2</f>
        <v>255.75</v>
      </c>
      <c r="O26" s="490">
        <f t="shared" ref="O26:O33" si="13">(C26+C27-G27)/2</f>
        <v>337.5</v>
      </c>
      <c r="P26" s="491">
        <f t="shared" ref="P26:P33" si="14">(A26-B26)/M26</f>
        <v>0.40390765542867813</v>
      </c>
      <c r="Q26" s="492">
        <f t="shared" si="10"/>
        <v>0.33019450831294433</v>
      </c>
      <c r="R26" s="493">
        <f>SUM(Q$13:Q26)</f>
        <v>1.182691655600647</v>
      </c>
      <c r="S26" s="494">
        <f t="shared" si="11"/>
        <v>0.35042715721500656</v>
      </c>
      <c r="T26" s="505"/>
      <c r="U26" s="496"/>
      <c r="V26" s="497"/>
      <c r="W26" s="522"/>
    </row>
    <row r="27" spans="1:25" s="504" customFormat="1" x14ac:dyDescent="0.3">
      <c r="A27" s="499">
        <v>950</v>
      </c>
      <c r="B27" s="483">
        <v>0</v>
      </c>
      <c r="C27" s="471">
        <v>422</v>
      </c>
      <c r="D27" s="528">
        <v>84</v>
      </c>
      <c r="E27" s="529"/>
      <c r="F27" s="530"/>
      <c r="G27" s="531">
        <f t="shared" si="8"/>
        <v>84</v>
      </c>
      <c r="H27" s="529">
        <v>5.7</v>
      </c>
      <c r="I27" s="529"/>
      <c r="J27" s="529"/>
      <c r="K27" s="529"/>
      <c r="L27" s="532">
        <f t="shared" si="9"/>
        <v>5.7</v>
      </c>
      <c r="M27" s="471">
        <f t="shared" si="12"/>
        <v>2143.47725161778</v>
      </c>
      <c r="N27" s="489">
        <f t="shared" ref="N27:N33" si="15">(C26+C27-G27)/2</f>
        <v>337.5</v>
      </c>
      <c r="O27" s="490">
        <f t="shared" si="13"/>
        <v>421.5</v>
      </c>
      <c r="P27" s="491">
        <f t="shared" si="14"/>
        <v>0.44320507683624433</v>
      </c>
      <c r="Q27" s="492">
        <f t="shared" si="10"/>
        <v>0.37229226454244524</v>
      </c>
      <c r="R27" s="493">
        <f>SUM(Q$13:Q27)</f>
        <v>1.5549839201430924</v>
      </c>
      <c r="S27" s="494">
        <f t="shared" si="11"/>
        <v>0.36891670703276214</v>
      </c>
      <c r="T27" s="505"/>
      <c r="U27" s="496"/>
      <c r="V27" s="497"/>
      <c r="W27" s="522"/>
    </row>
    <row r="28" spans="1:25" x14ac:dyDescent="0.2">
      <c r="A28" s="499">
        <v>520</v>
      </c>
      <c r="B28" s="483">
        <v>0</v>
      </c>
      <c r="C28" s="471">
        <f>C29-D29</f>
        <v>468</v>
      </c>
      <c r="D28" s="528">
        <v>47</v>
      </c>
      <c r="E28" s="529"/>
      <c r="F28" s="530"/>
      <c r="G28" s="531">
        <f t="shared" si="8"/>
        <v>47</v>
      </c>
      <c r="H28" s="529">
        <v>5.7</v>
      </c>
      <c r="I28" s="529"/>
      <c r="J28" s="529"/>
      <c r="K28" s="529"/>
      <c r="L28" s="532">
        <f t="shared" si="9"/>
        <v>5.7</v>
      </c>
      <c r="M28" s="471">
        <f t="shared" si="12"/>
        <v>1199.3265574528057</v>
      </c>
      <c r="N28" s="489">
        <f t="shared" si="15"/>
        <v>421.5</v>
      </c>
      <c r="O28" s="490">
        <f t="shared" si="13"/>
        <v>468</v>
      </c>
      <c r="P28" s="491">
        <f t="shared" si="14"/>
        <v>0.43357665747384433</v>
      </c>
      <c r="Q28" s="492">
        <f t="shared" si="10"/>
        <v>0.20161314572533762</v>
      </c>
      <c r="R28" s="493">
        <f>SUM(Q$13:Q28)</f>
        <v>1.75659706586843</v>
      </c>
      <c r="S28" s="494">
        <f t="shared" si="11"/>
        <v>0.37534125339069013</v>
      </c>
      <c r="T28" s="505"/>
      <c r="U28" s="496"/>
      <c r="V28" s="497"/>
      <c r="W28" s="522"/>
      <c r="X28" s="504"/>
      <c r="Y28" s="504"/>
    </row>
    <row r="29" spans="1:25" x14ac:dyDescent="0.2">
      <c r="A29" s="499">
        <v>500</v>
      </c>
      <c r="B29" s="483">
        <v>0</v>
      </c>
      <c r="C29" s="471">
        <v>508</v>
      </c>
      <c r="D29" s="528">
        <v>40</v>
      </c>
      <c r="E29" s="529"/>
      <c r="F29" s="530"/>
      <c r="G29" s="531">
        <f t="shared" si="8"/>
        <v>40</v>
      </c>
      <c r="H29" s="529">
        <v>5.7</v>
      </c>
      <c r="I29" s="529"/>
      <c r="J29" s="529"/>
      <c r="K29" s="529"/>
      <c r="L29" s="532">
        <f t="shared" si="9"/>
        <v>5.7</v>
      </c>
      <c r="M29" s="471">
        <f t="shared" si="12"/>
        <v>1020.7034531513239</v>
      </c>
      <c r="N29" s="489">
        <f t="shared" si="15"/>
        <v>468</v>
      </c>
      <c r="O29" s="490">
        <f t="shared" si="13"/>
        <v>508.25</v>
      </c>
      <c r="P29" s="491">
        <f t="shared" si="14"/>
        <v>0.48985824281900686</v>
      </c>
      <c r="Q29" s="492">
        <f t="shared" si="10"/>
        <v>0.19716794273465027</v>
      </c>
      <c r="R29" s="493">
        <f>SUM(Q$13:Q29)</f>
        <v>1.9537650086030802</v>
      </c>
      <c r="S29" s="494">
        <f t="shared" si="11"/>
        <v>0.38441023287812692</v>
      </c>
      <c r="T29" s="505"/>
      <c r="U29" s="496"/>
      <c r="V29" s="497"/>
      <c r="W29" s="522"/>
      <c r="X29" s="504"/>
      <c r="Y29" s="504"/>
    </row>
    <row r="30" spans="1:25" x14ac:dyDescent="0.2">
      <c r="A30" s="499">
        <v>580</v>
      </c>
      <c r="B30" s="483">
        <v>0</v>
      </c>
      <c r="C30" s="471">
        <f>C31-D31</f>
        <v>553.5</v>
      </c>
      <c r="D30" s="528">
        <v>45</v>
      </c>
      <c r="E30" s="529"/>
      <c r="F30" s="530"/>
      <c r="G30" s="531">
        <f t="shared" si="8"/>
        <v>45</v>
      </c>
      <c r="H30" s="529">
        <v>5.7</v>
      </c>
      <c r="I30" s="529"/>
      <c r="J30" s="529"/>
      <c r="K30" s="529"/>
      <c r="L30" s="532">
        <f t="shared" si="9"/>
        <v>5.7</v>
      </c>
      <c r="M30" s="471">
        <f t="shared" si="12"/>
        <v>1148.2913847952393</v>
      </c>
      <c r="N30" s="489">
        <f t="shared" si="15"/>
        <v>508.25</v>
      </c>
      <c r="O30" s="490">
        <f t="shared" si="13"/>
        <v>553.5</v>
      </c>
      <c r="P30" s="491">
        <f t="shared" si="14"/>
        <v>0.50509827704004262</v>
      </c>
      <c r="Q30" s="492">
        <f t="shared" si="10"/>
        <v>0.22855697036061928</v>
      </c>
      <c r="R30" s="493">
        <f>SUM(Q$13:Q30)</f>
        <v>2.1823219789636994</v>
      </c>
      <c r="S30" s="494">
        <f t="shared" si="11"/>
        <v>0.39427678030057806</v>
      </c>
      <c r="T30" s="505"/>
      <c r="U30" s="496"/>
      <c r="V30" s="497"/>
      <c r="W30" s="522"/>
      <c r="X30" s="504"/>
      <c r="Y30" s="504"/>
    </row>
    <row r="31" spans="1:25" x14ac:dyDescent="0.2">
      <c r="A31" s="499">
        <v>520</v>
      </c>
      <c r="B31" s="483">
        <v>0</v>
      </c>
      <c r="C31" s="471">
        <v>594</v>
      </c>
      <c r="D31" s="528">
        <v>40.5</v>
      </c>
      <c r="E31" s="529"/>
      <c r="F31" s="530"/>
      <c r="G31" s="531">
        <f t="shared" si="8"/>
        <v>40.5</v>
      </c>
      <c r="H31" s="529">
        <v>5.7</v>
      </c>
      <c r="I31" s="529"/>
      <c r="J31" s="529"/>
      <c r="K31" s="529"/>
      <c r="L31" s="532">
        <f t="shared" si="9"/>
        <v>5.7</v>
      </c>
      <c r="M31" s="471">
        <f t="shared" si="12"/>
        <v>1033.4622463157154</v>
      </c>
      <c r="N31" s="489">
        <f t="shared" si="15"/>
        <v>553.5</v>
      </c>
      <c r="O31" s="490">
        <f t="shared" si="13"/>
        <v>594.5</v>
      </c>
      <c r="P31" s="491">
        <f t="shared" si="14"/>
        <v>0.50316303459927614</v>
      </c>
      <c r="Q31" s="492">
        <f t="shared" si="10"/>
        <v>0.20629684418570321</v>
      </c>
      <c r="R31" s="493">
        <f>SUM(Q$13:Q31)</f>
        <v>2.3886188231494025</v>
      </c>
      <c r="S31" s="494">
        <f t="shared" si="11"/>
        <v>0.40178617714876413</v>
      </c>
      <c r="T31" s="505"/>
      <c r="U31" s="496"/>
      <c r="V31" s="497"/>
      <c r="W31" s="522"/>
      <c r="X31" s="504"/>
      <c r="Y31" s="504"/>
    </row>
    <row r="32" spans="1:25" x14ac:dyDescent="0.2">
      <c r="A32" s="499">
        <v>570</v>
      </c>
      <c r="B32" s="483">
        <v>0</v>
      </c>
      <c r="C32" s="471">
        <f>C33-D33</f>
        <v>638</v>
      </c>
      <c r="D32" s="528">
        <v>43</v>
      </c>
      <c r="E32" s="529"/>
      <c r="F32" s="530"/>
      <c r="G32" s="531">
        <f t="shared" si="8"/>
        <v>43</v>
      </c>
      <c r="H32" s="529">
        <v>5.7</v>
      </c>
      <c r="I32" s="529"/>
      <c r="J32" s="529"/>
      <c r="K32" s="529"/>
      <c r="L32" s="532">
        <f t="shared" si="9"/>
        <v>5.7</v>
      </c>
      <c r="M32" s="471">
        <f t="shared" si="12"/>
        <v>1097.2562121376732</v>
      </c>
      <c r="N32" s="489">
        <f t="shared" si="15"/>
        <v>594.5</v>
      </c>
      <c r="O32" s="490">
        <f t="shared" si="13"/>
        <v>638</v>
      </c>
      <c r="P32" s="491">
        <f>(A32-B32)/M32</f>
        <v>0.51947757843131892</v>
      </c>
      <c r="Q32" s="492">
        <f t="shared" si="10"/>
        <v>0.22597274661762373</v>
      </c>
      <c r="R32" s="493">
        <f>SUM(Q$13:Q32)</f>
        <v>2.6145915697670263</v>
      </c>
      <c r="S32" s="494">
        <f t="shared" si="11"/>
        <v>0.40981059087257471</v>
      </c>
      <c r="T32" s="505"/>
      <c r="U32" s="496"/>
      <c r="V32" s="497"/>
      <c r="W32" s="522"/>
      <c r="X32" s="504"/>
      <c r="Y32" s="504"/>
    </row>
    <row r="33" spans="1:26" x14ac:dyDescent="0.2">
      <c r="A33" s="499">
        <v>560</v>
      </c>
      <c r="B33" s="483">
        <v>0</v>
      </c>
      <c r="C33" s="471">
        <v>679</v>
      </c>
      <c r="D33" s="528">
        <v>41</v>
      </c>
      <c r="E33" s="529"/>
      <c r="F33" s="530"/>
      <c r="G33" s="531">
        <f t="shared" si="8"/>
        <v>41</v>
      </c>
      <c r="H33" s="529">
        <v>5.7</v>
      </c>
      <c r="I33" s="529"/>
      <c r="J33" s="529"/>
      <c r="K33" s="529"/>
      <c r="L33" s="532">
        <f t="shared" si="9"/>
        <v>5.7</v>
      </c>
      <c r="M33" s="471">
        <f t="shared" si="12"/>
        <v>1046.2210394801068</v>
      </c>
      <c r="N33" s="489">
        <f t="shared" si="15"/>
        <v>638</v>
      </c>
      <c r="O33" s="490">
        <f t="shared" si="13"/>
        <v>679.25</v>
      </c>
      <c r="P33" s="491">
        <f t="shared" si="14"/>
        <v>0.53525973849491493</v>
      </c>
      <c r="Q33" s="492">
        <f t="shared" si="10"/>
        <v>0.2207946421291524</v>
      </c>
      <c r="R33" s="493">
        <f>SUM(Q$13:Q33)</f>
        <v>2.8353862118961786</v>
      </c>
      <c r="S33" s="494">
        <f t="shared" si="11"/>
        <v>0.4174289601613807</v>
      </c>
      <c r="T33" s="505"/>
      <c r="U33" s="496"/>
      <c r="V33" s="497"/>
      <c r="W33" s="534"/>
    </row>
    <row r="34" spans="1:26" x14ac:dyDescent="0.2">
      <c r="A34" s="499">
        <v>580</v>
      </c>
      <c r="B34" s="483">
        <v>0</v>
      </c>
      <c r="C34" s="471">
        <f>C35-D35</f>
        <v>722.5</v>
      </c>
      <c r="D34" s="528">
        <v>43</v>
      </c>
      <c r="E34" s="529"/>
      <c r="F34" s="530"/>
      <c r="G34" s="531">
        <f t="shared" si="8"/>
        <v>43</v>
      </c>
      <c r="H34" s="529">
        <v>5.7</v>
      </c>
      <c r="I34" s="529"/>
      <c r="J34" s="529"/>
      <c r="K34" s="529"/>
      <c r="L34" s="532">
        <f t="shared" ref="L34:L43" si="16">AVERAGE(H34:K34)</f>
        <v>5.7</v>
      </c>
      <c r="M34" s="471">
        <f t="shared" ref="M34:M43" si="17">G34*    PI()* (L34/2)^2</f>
        <v>1097.2562121376732</v>
      </c>
      <c r="N34" s="489">
        <f t="shared" ref="N34:N43" si="18">(C33+C34-G34)/2</f>
        <v>679.25</v>
      </c>
      <c r="O34" s="490">
        <f t="shared" ref="O34:O42" si="19">(C34+C35-G35)/2</f>
        <v>722.5</v>
      </c>
      <c r="P34" s="491">
        <f t="shared" ref="P34:P43" si="20">(A34-B34)/M34</f>
        <v>0.52859122015818416</v>
      </c>
      <c r="Q34" s="492">
        <f t="shared" ref="Q34:Q43" si="21">(P34*(O34-N34))/100</f>
        <v>0.22861570271841467</v>
      </c>
      <c r="R34" s="493">
        <f>SUM(Q$13:Q34)</f>
        <v>3.0640019146145931</v>
      </c>
      <c r="S34" s="494">
        <f t="shared" ref="S34:S43" si="22">R34/O34*100</f>
        <v>0.42408330998125854</v>
      </c>
      <c r="T34" s="505"/>
      <c r="U34" s="496"/>
      <c r="V34" s="497"/>
      <c r="W34" s="535"/>
      <c r="X34" s="536"/>
      <c r="Y34" s="537"/>
      <c r="Z34" s="536"/>
    </row>
    <row r="35" spans="1:26" x14ac:dyDescent="0.2">
      <c r="A35" s="499">
        <v>570</v>
      </c>
      <c r="B35" s="483">
        <v>0</v>
      </c>
      <c r="C35" s="471">
        <v>764</v>
      </c>
      <c r="D35" s="528">
        <v>41.5</v>
      </c>
      <c r="E35" s="529"/>
      <c r="F35" s="530"/>
      <c r="G35" s="531">
        <f t="shared" si="8"/>
        <v>41.5</v>
      </c>
      <c r="H35" s="529">
        <v>5.7</v>
      </c>
      <c r="I35" s="529"/>
      <c r="J35" s="529"/>
      <c r="K35" s="529"/>
      <c r="L35" s="532">
        <f t="shared" si="16"/>
        <v>5.7</v>
      </c>
      <c r="M35" s="471">
        <f t="shared" si="17"/>
        <v>1058.9798326444986</v>
      </c>
      <c r="N35" s="489">
        <f t="shared" si="18"/>
        <v>722.5</v>
      </c>
      <c r="O35" s="490">
        <f t="shared" si="19"/>
        <v>763.75</v>
      </c>
      <c r="P35" s="491">
        <f t="shared" si="20"/>
        <v>0.5382538764469087</v>
      </c>
      <c r="Q35" s="492">
        <f t="shared" si="21"/>
        <v>0.22202972403434984</v>
      </c>
      <c r="R35" s="493">
        <f>SUM(Q$13:Q35)</f>
        <v>3.286031638648943</v>
      </c>
      <c r="S35" s="494">
        <f t="shared" si="22"/>
        <v>0.43024964172162922</v>
      </c>
      <c r="T35" s="505"/>
      <c r="U35" s="496"/>
      <c r="V35" s="497"/>
      <c r="W35" s="535"/>
      <c r="X35" s="536"/>
      <c r="Y35" s="538"/>
      <c r="Z35" s="536"/>
    </row>
    <row r="36" spans="1:26" x14ac:dyDescent="0.2">
      <c r="A36" s="499">
        <v>600</v>
      </c>
      <c r="B36" s="483">
        <v>0</v>
      </c>
      <c r="C36" s="471">
        <f>C37-D37</f>
        <v>806.5</v>
      </c>
      <c r="D36" s="528">
        <v>43</v>
      </c>
      <c r="E36" s="529"/>
      <c r="F36" s="530"/>
      <c r="G36" s="531">
        <f t="shared" si="8"/>
        <v>43</v>
      </c>
      <c r="H36" s="529">
        <v>5.7</v>
      </c>
      <c r="I36" s="529"/>
      <c r="J36" s="529"/>
      <c r="K36" s="529"/>
      <c r="L36" s="532">
        <f t="shared" si="16"/>
        <v>5.7</v>
      </c>
      <c r="M36" s="471">
        <f t="shared" si="17"/>
        <v>1097.2562121376732</v>
      </c>
      <c r="N36" s="489">
        <f t="shared" si="18"/>
        <v>763.75</v>
      </c>
      <c r="O36" s="490">
        <f t="shared" si="19"/>
        <v>806.5</v>
      </c>
      <c r="P36" s="491">
        <f t="shared" si="20"/>
        <v>0.54681850361191464</v>
      </c>
      <c r="Q36" s="492">
        <f t="shared" si="21"/>
        <v>0.23376491029409352</v>
      </c>
      <c r="R36" s="493">
        <f>SUM(Q$13:Q36)</f>
        <v>3.5197965489430363</v>
      </c>
      <c r="S36" s="494">
        <f t="shared" si="22"/>
        <v>0.43642858635375531</v>
      </c>
      <c r="T36" s="505"/>
      <c r="U36" s="496"/>
      <c r="V36" s="497"/>
      <c r="W36" s="539"/>
      <c r="X36" s="536"/>
      <c r="Y36" s="536"/>
      <c r="Z36" s="536"/>
    </row>
    <row r="37" spans="1:26" x14ac:dyDescent="0.2">
      <c r="A37" s="499">
        <v>615</v>
      </c>
      <c r="B37" s="483">
        <v>0</v>
      </c>
      <c r="C37" s="471">
        <v>849</v>
      </c>
      <c r="D37" s="528">
        <v>42.5</v>
      </c>
      <c r="E37" s="529"/>
      <c r="F37" s="530"/>
      <c r="G37" s="531">
        <f t="shared" si="8"/>
        <v>42.5</v>
      </c>
      <c r="H37" s="529">
        <v>5.7</v>
      </c>
      <c r="I37" s="529"/>
      <c r="J37" s="529"/>
      <c r="K37" s="529"/>
      <c r="L37" s="532">
        <f t="shared" si="16"/>
        <v>5.7</v>
      </c>
      <c r="M37" s="471">
        <f t="shared" si="17"/>
        <v>1084.4974189732816</v>
      </c>
      <c r="N37" s="489">
        <f t="shared" si="18"/>
        <v>806.5</v>
      </c>
      <c r="O37" s="490">
        <f t="shared" si="19"/>
        <v>849</v>
      </c>
      <c r="P37" s="491">
        <f t="shared" si="20"/>
        <v>0.56708295403988562</v>
      </c>
      <c r="Q37" s="492">
        <f t="shared" si="21"/>
        <v>0.2410102554669514</v>
      </c>
      <c r="R37" s="493">
        <f>SUM(Q$13:Q37)</f>
        <v>3.7608068044099876</v>
      </c>
      <c r="S37" s="494">
        <f t="shared" si="22"/>
        <v>0.44296899934157685</v>
      </c>
      <c r="T37" s="505"/>
      <c r="U37" s="496"/>
      <c r="V37" s="497"/>
      <c r="W37" s="540"/>
      <c r="X37" s="541"/>
    </row>
    <row r="38" spans="1:26" x14ac:dyDescent="0.2">
      <c r="A38" s="499">
        <v>675</v>
      </c>
      <c r="B38" s="483">
        <v>0</v>
      </c>
      <c r="C38" s="471">
        <f>C39-D39</f>
        <v>897</v>
      </c>
      <c r="D38" s="528">
        <v>48</v>
      </c>
      <c r="E38" s="529"/>
      <c r="F38" s="530"/>
      <c r="G38" s="531">
        <f t="shared" si="8"/>
        <v>48</v>
      </c>
      <c r="H38" s="529">
        <v>5.7</v>
      </c>
      <c r="I38" s="529"/>
      <c r="J38" s="529"/>
      <c r="K38" s="529"/>
      <c r="L38" s="532">
        <f t="shared" si="16"/>
        <v>5.7</v>
      </c>
      <c r="M38" s="471">
        <f t="shared" si="17"/>
        <v>1224.8441437815886</v>
      </c>
      <c r="N38" s="489">
        <f t="shared" si="18"/>
        <v>849</v>
      </c>
      <c r="O38" s="490">
        <f t="shared" si="19"/>
        <v>897</v>
      </c>
      <c r="P38" s="491">
        <f t="shared" si="20"/>
        <v>0.55109052317138274</v>
      </c>
      <c r="Q38" s="492">
        <f t="shared" si="21"/>
        <v>0.26452345112226372</v>
      </c>
      <c r="R38" s="493">
        <f>SUM(Q$13:Q38)</f>
        <v>4.0253302555322517</v>
      </c>
      <c r="S38" s="494">
        <f t="shared" si="22"/>
        <v>0.44875476650303814</v>
      </c>
      <c r="T38" s="505"/>
      <c r="U38" s="496"/>
      <c r="V38" s="497"/>
      <c r="W38" s="541"/>
      <c r="X38" s="541"/>
    </row>
    <row r="39" spans="1:26" x14ac:dyDescent="0.2">
      <c r="A39" s="499">
        <v>540</v>
      </c>
      <c r="B39" s="483">
        <v>0</v>
      </c>
      <c r="C39" s="471">
        <v>935</v>
      </c>
      <c r="D39" s="528">
        <v>38</v>
      </c>
      <c r="E39" s="529"/>
      <c r="F39" s="530"/>
      <c r="G39" s="531">
        <f t="shared" si="8"/>
        <v>38</v>
      </c>
      <c r="H39" s="529">
        <v>5.7</v>
      </c>
      <c r="I39" s="529"/>
      <c r="J39" s="529"/>
      <c r="K39" s="529"/>
      <c r="L39" s="532">
        <f t="shared" si="16"/>
        <v>5.7</v>
      </c>
      <c r="M39" s="471">
        <f t="shared" si="17"/>
        <v>969.66828049375761</v>
      </c>
      <c r="N39" s="489">
        <f t="shared" si="18"/>
        <v>897</v>
      </c>
      <c r="O39" s="490">
        <f t="shared" si="19"/>
        <v>934.25</v>
      </c>
      <c r="P39" s="491">
        <f t="shared" si="20"/>
        <v>0.55689147604687095</v>
      </c>
      <c r="Q39" s="492">
        <f t="shared" si="21"/>
        <v>0.20744207482745941</v>
      </c>
      <c r="R39" s="493">
        <f>SUM(Q$13:Q39)</f>
        <v>4.2327723303597109</v>
      </c>
      <c r="S39" s="494">
        <f t="shared" si="22"/>
        <v>0.45306634523518452</v>
      </c>
      <c r="T39" s="505"/>
      <c r="U39" s="496"/>
      <c r="V39" s="497"/>
    </row>
    <row r="40" spans="1:26" x14ac:dyDescent="0.2">
      <c r="A40" s="499">
        <v>425</v>
      </c>
      <c r="B40" s="483">
        <v>0</v>
      </c>
      <c r="C40" s="471">
        <f>C41-D41</f>
        <v>965</v>
      </c>
      <c r="D40" s="528">
        <v>31.5</v>
      </c>
      <c r="E40" s="529"/>
      <c r="F40" s="530"/>
      <c r="G40" s="531">
        <f t="shared" si="8"/>
        <v>31.5</v>
      </c>
      <c r="H40" s="529">
        <v>5.7</v>
      </c>
      <c r="I40" s="529"/>
      <c r="J40" s="529"/>
      <c r="K40" s="529"/>
      <c r="L40" s="532">
        <f t="shared" si="16"/>
        <v>5.7</v>
      </c>
      <c r="M40" s="471">
        <f t="shared" si="17"/>
        <v>803.80396935666761</v>
      </c>
      <c r="N40" s="489">
        <f t="shared" si="18"/>
        <v>934.25</v>
      </c>
      <c r="O40" s="490">
        <f t="shared" si="19"/>
        <v>965</v>
      </c>
      <c r="P40" s="491">
        <f t="shared" si="20"/>
        <v>0.52873588113797565</v>
      </c>
      <c r="Q40" s="492">
        <f t="shared" si="21"/>
        <v>0.16258628344992751</v>
      </c>
      <c r="R40" s="493">
        <f>SUM(Q$13:Q40)</f>
        <v>4.3953586138096385</v>
      </c>
      <c r="S40" s="494">
        <f t="shared" si="22"/>
        <v>0.4554775765605843</v>
      </c>
      <c r="T40" s="505" t="s">
        <v>255</v>
      </c>
      <c r="U40" s="496"/>
      <c r="V40" s="497"/>
    </row>
    <row r="41" spans="1:26" x14ac:dyDescent="0.2">
      <c r="A41" s="499">
        <v>755</v>
      </c>
      <c r="B41" s="483">
        <v>0</v>
      </c>
      <c r="C41" s="471">
        <v>1016</v>
      </c>
      <c r="D41" s="528">
        <v>51</v>
      </c>
      <c r="E41" s="529"/>
      <c r="F41" s="530"/>
      <c r="G41" s="531">
        <f t="shared" si="8"/>
        <v>51</v>
      </c>
      <c r="H41" s="529">
        <v>5.7</v>
      </c>
      <c r="I41" s="529"/>
      <c r="J41" s="529"/>
      <c r="K41" s="529"/>
      <c r="L41" s="532">
        <f t="shared" si="16"/>
        <v>5.7</v>
      </c>
      <c r="M41" s="471">
        <f t="shared" si="17"/>
        <v>1301.3969027679379</v>
      </c>
      <c r="N41" s="489">
        <f t="shared" si="18"/>
        <v>965</v>
      </c>
      <c r="O41" s="490">
        <f t="shared" si="19"/>
        <v>1015.75</v>
      </c>
      <c r="P41" s="491">
        <f t="shared" si="20"/>
        <v>0.58014584051505913</v>
      </c>
      <c r="Q41" s="492">
        <f t="shared" si="21"/>
        <v>0.29442401406139251</v>
      </c>
      <c r="R41" s="493">
        <f>SUM(Q$13:Q41)</f>
        <v>4.6897826278710308</v>
      </c>
      <c r="S41" s="494">
        <f t="shared" si="22"/>
        <v>0.4617063871888783</v>
      </c>
      <c r="T41" s="505" t="s">
        <v>256</v>
      </c>
      <c r="U41" s="496"/>
      <c r="V41" s="497"/>
    </row>
    <row r="42" spans="1:26" x14ac:dyDescent="0.2">
      <c r="A42" s="499">
        <v>620</v>
      </c>
      <c r="B42" s="483">
        <v>0</v>
      </c>
      <c r="C42" s="471">
        <f>C43-D43</f>
        <v>1059.5</v>
      </c>
      <c r="D42" s="528">
        <v>44</v>
      </c>
      <c r="E42" s="529"/>
      <c r="F42" s="530"/>
      <c r="G42" s="531">
        <f t="shared" si="8"/>
        <v>44</v>
      </c>
      <c r="H42" s="529">
        <v>5.7</v>
      </c>
      <c r="I42" s="529"/>
      <c r="J42" s="529"/>
      <c r="K42" s="529"/>
      <c r="L42" s="532">
        <f t="shared" si="16"/>
        <v>5.7</v>
      </c>
      <c r="M42" s="471">
        <f t="shared" si="17"/>
        <v>1122.7737984664561</v>
      </c>
      <c r="N42" s="489">
        <f t="shared" si="18"/>
        <v>1015.75</v>
      </c>
      <c r="O42" s="490">
        <f t="shared" si="19"/>
        <v>1059.5</v>
      </c>
      <c r="P42" s="491">
        <f t="shared" si="20"/>
        <v>0.55220383735960776</v>
      </c>
      <c r="Q42" s="492">
        <f t="shared" si="21"/>
        <v>0.24158917884482839</v>
      </c>
      <c r="R42" s="493">
        <f>SUM(Q$13:Q42)</f>
        <v>4.931371806715859</v>
      </c>
      <c r="S42" s="494">
        <f t="shared" si="22"/>
        <v>0.46544330407889184</v>
      </c>
      <c r="T42" s="505"/>
      <c r="U42" s="496"/>
      <c r="V42" s="497"/>
    </row>
    <row r="43" spans="1:26" x14ac:dyDescent="0.2">
      <c r="A43" s="499">
        <v>595</v>
      </c>
      <c r="B43" s="483">
        <v>0</v>
      </c>
      <c r="C43" s="471">
        <v>1100</v>
      </c>
      <c r="D43" s="528">
        <v>40.5</v>
      </c>
      <c r="E43" s="529"/>
      <c r="F43" s="530"/>
      <c r="G43" s="531">
        <f t="shared" si="8"/>
        <v>40.5</v>
      </c>
      <c r="H43" s="529">
        <v>5.7</v>
      </c>
      <c r="I43" s="529"/>
      <c r="J43" s="529"/>
      <c r="K43" s="529"/>
      <c r="L43" s="532">
        <f t="shared" si="16"/>
        <v>5.7</v>
      </c>
      <c r="M43" s="471">
        <f t="shared" si="17"/>
        <v>1033.4622463157154</v>
      </c>
      <c r="N43" s="489">
        <f t="shared" si="18"/>
        <v>1059.5</v>
      </c>
      <c r="O43" s="490">
        <f>C43</f>
        <v>1100</v>
      </c>
      <c r="P43" s="491">
        <f t="shared" si="20"/>
        <v>0.57573462612801796</v>
      </c>
      <c r="Q43" s="492">
        <f t="shared" si="21"/>
        <v>0.23317252358184729</v>
      </c>
      <c r="R43" s="493">
        <f>SUM(Q$13:Q43)</f>
        <v>5.1645443302977059</v>
      </c>
      <c r="S43" s="494">
        <f t="shared" si="22"/>
        <v>0.4695040300270642</v>
      </c>
      <c r="T43" s="505"/>
      <c r="U43" s="496"/>
      <c r="V43" s="497"/>
    </row>
    <row r="44" spans="1:26" x14ac:dyDescent="0.2">
      <c r="A44" s="499"/>
      <c r="B44" s="483"/>
      <c r="C44" s="471"/>
      <c r="D44" s="528"/>
      <c r="E44" s="529"/>
      <c r="F44" s="530"/>
      <c r="G44" s="531"/>
      <c r="H44" s="529"/>
      <c r="I44" s="529"/>
      <c r="J44" s="529"/>
      <c r="K44" s="529"/>
      <c r="L44" s="532"/>
      <c r="M44" s="471"/>
      <c r="N44" s="489"/>
      <c r="O44" s="490"/>
      <c r="P44" s="491"/>
      <c r="Q44" s="492"/>
      <c r="R44" s="493"/>
      <c r="S44" s="494"/>
      <c r="T44" s="505"/>
      <c r="U44" s="496"/>
      <c r="V44" s="497"/>
    </row>
    <row r="45" spans="1:26" x14ac:dyDescent="0.2">
      <c r="A45" s="499"/>
      <c r="B45" s="483"/>
      <c r="C45" s="471"/>
      <c r="D45" s="528"/>
      <c r="E45" s="529"/>
      <c r="F45" s="530"/>
      <c r="G45" s="531"/>
      <c r="H45" s="529"/>
      <c r="I45" s="529"/>
      <c r="J45" s="529"/>
      <c r="K45" s="529"/>
      <c r="L45" s="532"/>
      <c r="M45" s="471"/>
      <c r="N45" s="489"/>
      <c r="O45" s="490"/>
      <c r="P45" s="491"/>
      <c r="Q45" s="492"/>
      <c r="R45" s="493"/>
      <c r="S45" s="494"/>
      <c r="T45" s="505"/>
      <c r="U45" s="496"/>
      <c r="V45" s="497"/>
    </row>
    <row r="46" spans="1:26" x14ac:dyDescent="0.2">
      <c r="A46" s="499"/>
      <c r="B46" s="483"/>
      <c r="C46" s="471"/>
      <c r="D46" s="528"/>
      <c r="E46" s="529"/>
      <c r="F46" s="530"/>
      <c r="G46" s="531"/>
      <c r="H46" s="529"/>
      <c r="I46" s="529"/>
      <c r="J46" s="529"/>
      <c r="K46" s="529"/>
      <c r="L46" s="532"/>
      <c r="M46" s="471"/>
      <c r="N46" s="489"/>
      <c r="O46" s="490"/>
      <c r="P46" s="491"/>
      <c r="Q46" s="492"/>
      <c r="R46" s="493"/>
      <c r="S46" s="494"/>
      <c r="T46" s="505"/>
      <c r="U46" s="496"/>
      <c r="V46" s="497"/>
    </row>
    <row r="47" spans="1:26" x14ac:dyDescent="0.2">
      <c r="A47" s="499"/>
      <c r="B47" s="483"/>
      <c r="C47" s="471"/>
      <c r="D47" s="528"/>
      <c r="E47" s="529"/>
      <c r="F47" s="530"/>
      <c r="G47" s="531"/>
      <c r="H47" s="529"/>
      <c r="I47" s="529"/>
      <c r="J47" s="529"/>
      <c r="K47" s="529"/>
      <c r="L47" s="532"/>
      <c r="M47" s="471"/>
      <c r="N47" s="489"/>
      <c r="O47" s="490"/>
      <c r="P47" s="491"/>
      <c r="Q47" s="492"/>
      <c r="R47" s="493"/>
      <c r="S47" s="494"/>
      <c r="T47" s="505"/>
      <c r="U47" s="496"/>
      <c r="V47" s="497"/>
    </row>
    <row r="48" spans="1:26" x14ac:dyDescent="0.2">
      <c r="A48" s="499"/>
      <c r="B48" s="483"/>
      <c r="C48" s="471"/>
      <c r="D48" s="528"/>
      <c r="E48" s="529"/>
      <c r="F48" s="530"/>
      <c r="G48" s="531"/>
      <c r="H48" s="529"/>
      <c r="I48" s="529"/>
      <c r="J48" s="529"/>
      <c r="K48" s="529"/>
      <c r="L48" s="532"/>
      <c r="M48" s="471"/>
      <c r="N48" s="489"/>
      <c r="O48" s="490"/>
      <c r="P48" s="491"/>
      <c r="Q48" s="492"/>
      <c r="R48" s="493"/>
      <c r="S48" s="494"/>
      <c r="T48" s="505"/>
      <c r="U48" s="496"/>
      <c r="V48" s="497"/>
    </row>
    <row r="49" spans="1:26" x14ac:dyDescent="0.2">
      <c r="A49" s="499"/>
      <c r="B49" s="483"/>
      <c r="C49" s="471"/>
      <c r="D49" s="528"/>
      <c r="E49" s="529"/>
      <c r="F49" s="530"/>
      <c r="G49" s="531"/>
      <c r="H49" s="529"/>
      <c r="I49" s="529"/>
      <c r="J49" s="529"/>
      <c r="K49" s="529"/>
      <c r="L49" s="532"/>
      <c r="M49" s="471"/>
      <c r="N49" s="489"/>
      <c r="O49" s="490"/>
      <c r="P49" s="491"/>
      <c r="Q49" s="492"/>
      <c r="R49" s="493"/>
      <c r="S49" s="494"/>
      <c r="T49" s="505"/>
      <c r="U49" s="496"/>
      <c r="V49" s="497"/>
    </row>
    <row r="50" spans="1:26" x14ac:dyDescent="0.2">
      <c r="A50" s="499"/>
      <c r="B50" s="483"/>
      <c r="C50" s="471"/>
      <c r="D50" s="528"/>
      <c r="E50" s="529"/>
      <c r="F50" s="530"/>
      <c r="G50" s="531"/>
      <c r="H50" s="529"/>
      <c r="I50" s="529"/>
      <c r="J50" s="529"/>
      <c r="K50" s="529"/>
      <c r="L50" s="532"/>
      <c r="M50" s="471"/>
      <c r="N50" s="489"/>
      <c r="O50" s="490"/>
      <c r="P50" s="491"/>
      <c r="Q50" s="492"/>
      <c r="R50" s="493"/>
      <c r="S50" s="494"/>
      <c r="T50" s="505"/>
      <c r="U50" s="496"/>
      <c r="V50" s="497"/>
    </row>
    <row r="51" spans="1:26" ht="10.8" thickBot="1" x14ac:dyDescent="0.25">
      <c r="A51" s="499"/>
      <c r="B51" s="483"/>
      <c r="C51" s="471"/>
      <c r="D51" s="528"/>
      <c r="E51" s="529"/>
      <c r="F51" s="530"/>
      <c r="G51" s="531"/>
      <c r="H51" s="529"/>
      <c r="I51" s="529"/>
      <c r="J51" s="529"/>
      <c r="K51" s="529"/>
      <c r="L51" s="532"/>
      <c r="M51" s="471"/>
      <c r="N51" s="489"/>
      <c r="O51" s="490"/>
      <c r="P51" s="491"/>
      <c r="Q51" s="492"/>
      <c r="R51" s="493"/>
      <c r="S51" s="494"/>
      <c r="T51" s="505"/>
      <c r="U51" s="496"/>
      <c r="V51" s="542"/>
    </row>
    <row r="52" spans="1:26" x14ac:dyDescent="0.2">
      <c r="A52" s="499"/>
      <c r="B52" s="483"/>
      <c r="C52" s="471"/>
      <c r="D52" s="528"/>
      <c r="E52" s="529"/>
      <c r="F52" s="530"/>
      <c r="G52" s="531"/>
      <c r="H52" s="529"/>
      <c r="I52" s="529"/>
      <c r="J52" s="529"/>
      <c r="K52" s="529"/>
      <c r="L52" s="532"/>
      <c r="M52" s="471"/>
      <c r="N52" s="489"/>
      <c r="O52" s="490"/>
      <c r="P52" s="491"/>
      <c r="Q52" s="492"/>
      <c r="R52" s="493"/>
      <c r="S52" s="494"/>
      <c r="T52" s="505"/>
      <c r="U52" s="543" t="s">
        <v>153</v>
      </c>
      <c r="V52" s="544">
        <f>AVERAGE(V12:V51)</f>
        <v>952</v>
      </c>
    </row>
    <row r="53" spans="1:26" x14ac:dyDescent="0.2">
      <c r="A53" s="499"/>
      <c r="B53" s="483"/>
      <c r="C53" s="471"/>
      <c r="D53" s="528"/>
      <c r="E53" s="529"/>
      <c r="F53" s="530"/>
      <c r="G53" s="531"/>
      <c r="H53" s="529"/>
      <c r="I53" s="529"/>
      <c r="J53" s="529"/>
      <c r="K53" s="529"/>
      <c r="L53" s="532"/>
      <c r="M53" s="471"/>
      <c r="N53" s="489"/>
      <c r="O53" s="490"/>
      <c r="P53" s="491"/>
      <c r="Q53" s="492"/>
      <c r="R53" s="493"/>
      <c r="S53" s="494"/>
      <c r="T53" s="505"/>
      <c r="U53" s="370" t="s">
        <v>154</v>
      </c>
      <c r="V53" s="542" t="e">
        <f>STDEV(V12:V51)</f>
        <v>#DIV/0!</v>
      </c>
      <c r="W53" s="545"/>
      <c r="X53" s="545"/>
    </row>
    <row r="54" spans="1:26" x14ac:dyDescent="0.2">
      <c r="A54" s="546" t="s">
        <v>155</v>
      </c>
      <c r="B54" s="547"/>
      <c r="C54" s="548"/>
      <c r="D54" s="548"/>
      <c r="E54" s="548"/>
      <c r="F54" s="548"/>
      <c r="G54" s="549"/>
      <c r="H54" s="548"/>
      <c r="I54" s="548"/>
      <c r="J54" s="548"/>
      <c r="K54" s="548"/>
      <c r="L54" s="550"/>
      <c r="M54" s="548"/>
      <c r="N54" s="551"/>
      <c r="O54" s="552"/>
      <c r="P54" s="553"/>
      <c r="Q54" s="554"/>
      <c r="R54" s="555"/>
      <c r="S54" s="556"/>
      <c r="T54" s="557"/>
      <c r="U54" s="370" t="s">
        <v>156</v>
      </c>
      <c r="V54" s="542" t="e">
        <f>V53/SQRT(COUNT(V12:V50))</f>
        <v>#DIV/0!</v>
      </c>
      <c r="W54" s="540"/>
      <c r="X54" s="545"/>
      <c r="Y54" s="545"/>
      <c r="Z54" s="545"/>
    </row>
    <row r="55" spans="1:26" x14ac:dyDescent="0.2">
      <c r="A55" s="558"/>
      <c r="B55" s="559"/>
      <c r="C55" s="560"/>
      <c r="D55" s="560"/>
      <c r="E55" s="560"/>
      <c r="F55" s="560"/>
      <c r="G55" s="561"/>
      <c r="H55" s="560"/>
      <c r="I55" s="560"/>
      <c r="J55" s="560"/>
      <c r="K55" s="560"/>
      <c r="L55" s="562"/>
      <c r="M55" s="560"/>
      <c r="N55" s="563"/>
      <c r="O55" s="564"/>
      <c r="P55" s="565"/>
      <c r="Q55" s="566"/>
      <c r="R55" s="567"/>
      <c r="S55" s="568"/>
      <c r="T55" s="569"/>
      <c r="U55" s="370" t="s">
        <v>157</v>
      </c>
      <c r="V55" s="542">
        <f>MAX(V12:V51)</f>
        <v>952</v>
      </c>
      <c r="W55" s="540"/>
    </row>
    <row r="56" spans="1:26" ht="10.8" thickBot="1" x14ac:dyDescent="0.25">
      <c r="A56" s="570"/>
      <c r="B56" s="571"/>
      <c r="C56" s="572"/>
      <c r="D56" s="572"/>
      <c r="E56" s="572"/>
      <c r="F56" s="572"/>
      <c r="G56" s="573"/>
      <c r="H56" s="572"/>
      <c r="I56" s="572"/>
      <c r="J56" s="572"/>
      <c r="K56" s="572"/>
      <c r="L56" s="574"/>
      <c r="M56" s="572"/>
      <c r="N56" s="575"/>
      <c r="O56" s="576"/>
      <c r="P56" s="577"/>
      <c r="Q56" s="578"/>
      <c r="R56" s="579"/>
      <c r="S56" s="580"/>
      <c r="T56" s="581"/>
      <c r="U56" s="582" t="s">
        <v>158</v>
      </c>
      <c r="V56" s="583">
        <f>MIN(V12:V51)</f>
        <v>952</v>
      </c>
      <c r="W56" s="545"/>
    </row>
    <row r="57" spans="1:26" x14ac:dyDescent="0.2">
      <c r="A57" s="584"/>
      <c r="B57" s="584"/>
      <c r="C57" s="585"/>
      <c r="D57" s="586"/>
      <c r="E57" s="586"/>
      <c r="F57" s="586"/>
      <c r="G57" s="587"/>
      <c r="H57" s="588"/>
      <c r="I57" s="589"/>
      <c r="J57" s="590"/>
      <c r="K57" s="591"/>
      <c r="L57" s="592"/>
      <c r="M57" s="545"/>
      <c r="O57" s="533"/>
      <c r="P57" s="593"/>
    </row>
    <row r="58" spans="1:26" x14ac:dyDescent="0.2">
      <c r="A58" s="545"/>
      <c r="B58" s="545"/>
      <c r="C58" s="594"/>
      <c r="D58" s="594"/>
      <c r="E58" s="594"/>
      <c r="F58" s="594"/>
      <c r="G58" s="589"/>
      <c r="H58" s="588"/>
      <c r="I58" s="589"/>
      <c r="J58" s="590"/>
      <c r="K58" s="595"/>
      <c r="L58" s="592"/>
      <c r="M58" s="545"/>
      <c r="O58" s="533"/>
      <c r="P58" s="593"/>
    </row>
    <row r="59" spans="1:26" x14ac:dyDescent="0.2">
      <c r="A59" s="596"/>
      <c r="B59" s="596"/>
      <c r="C59" s="596"/>
      <c r="D59" s="596"/>
      <c r="E59" s="590"/>
      <c r="F59" s="597"/>
      <c r="G59" s="545"/>
      <c r="H59" s="533"/>
      <c r="I59" s="545"/>
      <c r="J59" s="533"/>
      <c r="K59" s="533"/>
      <c r="L59" s="545"/>
      <c r="M59" s="545"/>
      <c r="O59" s="533"/>
      <c r="P59" s="593"/>
    </row>
    <row r="60" spans="1:26" x14ac:dyDescent="0.2">
      <c r="A60" s="598"/>
      <c r="B60" s="598"/>
      <c r="C60" s="596"/>
      <c r="D60" s="596"/>
      <c r="E60" s="590"/>
      <c r="F60" s="597"/>
      <c r="G60" s="533"/>
      <c r="H60" s="533"/>
      <c r="I60" s="545"/>
      <c r="J60" s="533"/>
      <c r="K60" s="533"/>
      <c r="L60" s="545"/>
      <c r="M60" s="545"/>
      <c r="O60" s="533"/>
      <c r="P60" s="593"/>
    </row>
    <row r="61" spans="1:26" x14ac:dyDescent="0.2">
      <c r="A61" s="442"/>
      <c r="B61" s="442"/>
      <c r="C61" s="596"/>
      <c r="D61" s="596"/>
      <c r="E61" s="590"/>
      <c r="F61" s="597"/>
      <c r="G61" s="533"/>
      <c r="H61" s="533"/>
      <c r="I61" s="545"/>
      <c r="J61" s="533"/>
      <c r="K61" s="533"/>
      <c r="L61" s="545"/>
      <c r="M61" s="545"/>
      <c r="O61" s="533"/>
      <c r="P61" s="593"/>
    </row>
    <row r="62" spans="1:26" x14ac:dyDescent="0.2">
      <c r="A62" s="596"/>
      <c r="B62" s="596"/>
      <c r="C62" s="596"/>
      <c r="D62" s="596"/>
      <c r="E62" s="590"/>
      <c r="F62" s="597"/>
      <c r="G62" s="533"/>
      <c r="H62" s="533"/>
      <c r="I62" s="545"/>
      <c r="J62" s="533"/>
      <c r="K62" s="533"/>
      <c r="L62" s="545"/>
      <c r="M62" s="545"/>
      <c r="O62" s="533"/>
      <c r="P62" s="593"/>
    </row>
    <row r="63" spans="1:26" x14ac:dyDescent="0.2">
      <c r="A63" s="596"/>
      <c r="B63" s="596"/>
      <c r="C63" s="596"/>
      <c r="D63" s="596"/>
      <c r="E63" s="590"/>
      <c r="F63" s="597"/>
      <c r="G63" s="533"/>
      <c r="H63" s="533"/>
      <c r="I63" s="545"/>
      <c r="J63" s="589"/>
      <c r="K63" s="533"/>
      <c r="L63" s="545"/>
      <c r="M63" s="545"/>
      <c r="O63" s="533"/>
      <c r="P63" s="593"/>
    </row>
    <row r="64" spans="1:26" x14ac:dyDescent="0.2">
      <c r="A64" s="596"/>
      <c r="B64" s="596"/>
      <c r="C64" s="596"/>
      <c r="D64" s="596"/>
      <c r="E64" s="590"/>
      <c r="F64" s="597"/>
      <c r="G64" s="533"/>
      <c r="H64" s="533"/>
      <c r="I64" s="545"/>
      <c r="J64" s="589"/>
      <c r="K64" s="533"/>
      <c r="L64" s="545"/>
      <c r="M64" s="545"/>
      <c r="O64" s="533"/>
      <c r="P64" s="593"/>
    </row>
    <row r="65" spans="1:16" x14ac:dyDescent="0.2">
      <c r="A65" s="596"/>
      <c r="B65" s="596"/>
      <c r="C65" s="596"/>
      <c r="D65" s="596"/>
      <c r="E65" s="590"/>
      <c r="F65" s="597"/>
      <c r="G65" s="533"/>
      <c r="H65" s="533"/>
      <c r="I65" s="545"/>
      <c r="J65" s="533"/>
      <c r="K65" s="533"/>
      <c r="L65" s="545"/>
      <c r="M65" s="545"/>
      <c r="O65" s="533"/>
      <c r="P65" s="593"/>
    </row>
    <row r="66" spans="1:16" x14ac:dyDescent="0.2">
      <c r="A66" s="596"/>
      <c r="B66" s="596"/>
      <c r="C66" s="596"/>
      <c r="D66" s="596"/>
      <c r="E66" s="590"/>
      <c r="F66" s="597"/>
      <c r="G66" s="533"/>
      <c r="H66" s="533"/>
      <c r="I66" s="545"/>
      <c r="J66" s="533"/>
      <c r="K66" s="533"/>
      <c r="L66" s="545"/>
      <c r="M66" s="545"/>
      <c r="O66" s="533"/>
      <c r="P66" s="593"/>
    </row>
    <row r="67" spans="1:16" x14ac:dyDescent="0.2">
      <c r="A67" s="596"/>
      <c r="B67" s="596"/>
      <c r="C67" s="596"/>
      <c r="D67" s="596"/>
      <c r="E67" s="590"/>
      <c r="F67" s="597"/>
      <c r="G67" s="533"/>
      <c r="H67" s="533"/>
      <c r="I67" s="545"/>
      <c r="J67" s="533"/>
      <c r="K67" s="533"/>
      <c r="L67" s="545"/>
      <c r="M67" s="545"/>
      <c r="O67" s="533"/>
      <c r="P67" s="593"/>
    </row>
    <row r="68" spans="1:16" x14ac:dyDescent="0.2">
      <c r="A68" s="596"/>
      <c r="B68" s="596"/>
      <c r="C68" s="596"/>
      <c r="D68" s="596"/>
      <c r="E68" s="590"/>
      <c r="F68" s="597"/>
      <c r="G68" s="533"/>
      <c r="H68" s="533"/>
      <c r="I68" s="545"/>
      <c r="J68" s="533"/>
      <c r="K68" s="533"/>
      <c r="L68" s="545"/>
      <c r="M68" s="545"/>
      <c r="O68" s="533"/>
      <c r="P68" s="593"/>
    </row>
    <row r="69" spans="1:16" x14ac:dyDescent="0.2">
      <c r="A69" s="596"/>
      <c r="B69" s="596"/>
      <c r="C69" s="596"/>
      <c r="D69" s="596"/>
      <c r="E69" s="590"/>
      <c r="F69" s="597"/>
      <c r="G69" s="533"/>
      <c r="H69" s="533"/>
      <c r="I69" s="545"/>
      <c r="J69" s="533"/>
      <c r="K69" s="533"/>
      <c r="L69" s="545"/>
      <c r="M69" s="545"/>
      <c r="O69" s="533"/>
      <c r="P69" s="593"/>
    </row>
    <row r="70" spans="1:16" x14ac:dyDescent="0.2">
      <c r="A70" s="596"/>
      <c r="B70" s="596"/>
      <c r="C70" s="596"/>
      <c r="D70" s="596"/>
      <c r="E70" s="590"/>
      <c r="F70" s="597"/>
      <c r="G70" s="533"/>
      <c r="H70" s="533"/>
      <c r="I70" s="545"/>
      <c r="J70" s="533"/>
      <c r="K70" s="533"/>
      <c r="L70" s="545"/>
      <c r="O70" s="533"/>
      <c r="P70" s="593"/>
    </row>
    <row r="71" spans="1:16" x14ac:dyDescent="0.2">
      <c r="A71" s="596"/>
      <c r="B71" s="596"/>
      <c r="C71" s="596"/>
      <c r="D71" s="596"/>
      <c r="E71" s="590"/>
      <c r="F71" s="597"/>
      <c r="G71" s="533"/>
      <c r="H71" s="533"/>
      <c r="I71" s="545"/>
      <c r="J71" s="533"/>
      <c r="K71" s="533"/>
      <c r="L71" s="545"/>
      <c r="O71" s="533"/>
      <c r="P71" s="593"/>
    </row>
    <row r="72" spans="1:16" x14ac:dyDescent="0.2">
      <c r="A72" s="596"/>
      <c r="B72" s="596"/>
      <c r="C72" s="596"/>
      <c r="D72" s="596"/>
      <c r="E72" s="590"/>
      <c r="F72" s="597"/>
      <c r="G72" s="533"/>
      <c r="H72" s="533"/>
      <c r="I72" s="545"/>
      <c r="J72" s="533"/>
      <c r="K72" s="533"/>
      <c r="L72" s="533"/>
      <c r="O72" s="533"/>
      <c r="P72" s="593"/>
    </row>
    <row r="73" spans="1:16" x14ac:dyDescent="0.2">
      <c r="A73" s="596"/>
      <c r="B73" s="596"/>
      <c r="C73" s="596"/>
      <c r="D73" s="596"/>
      <c r="E73" s="590"/>
      <c r="F73" s="597"/>
      <c r="G73" s="533"/>
      <c r="H73" s="533"/>
      <c r="I73" s="545"/>
      <c r="J73" s="533"/>
      <c r="K73" s="533"/>
      <c r="L73" s="533"/>
      <c r="O73" s="533"/>
      <c r="P73" s="593"/>
    </row>
    <row r="74" spans="1:16" x14ac:dyDescent="0.2">
      <c r="A74" s="596"/>
      <c r="B74" s="596"/>
      <c r="C74" s="596"/>
      <c r="D74" s="596"/>
      <c r="E74" s="590"/>
      <c r="F74" s="597"/>
      <c r="G74" s="533"/>
      <c r="H74" s="533"/>
      <c r="I74" s="545"/>
      <c r="J74" s="533"/>
      <c r="K74" s="533"/>
      <c r="L74" s="533"/>
      <c r="O74" s="533"/>
      <c r="P74" s="593"/>
    </row>
    <row r="75" spans="1:16" x14ac:dyDescent="0.2">
      <c r="A75" s="596"/>
      <c r="B75" s="596"/>
      <c r="C75" s="596"/>
      <c r="D75" s="596"/>
      <c r="E75" s="590"/>
      <c r="F75" s="597"/>
      <c r="G75" s="533"/>
      <c r="H75" s="533"/>
      <c r="I75" s="545"/>
      <c r="J75" s="533"/>
      <c r="K75" s="533"/>
      <c r="L75" s="533"/>
      <c r="O75" s="533"/>
      <c r="P75" s="593"/>
    </row>
    <row r="76" spans="1:16" x14ac:dyDescent="0.2">
      <c r="A76" s="596"/>
      <c r="B76" s="596"/>
      <c r="C76" s="596"/>
      <c r="D76" s="596"/>
      <c r="E76" s="590"/>
      <c r="F76" s="597"/>
      <c r="G76" s="533"/>
      <c r="H76" s="533"/>
      <c r="I76" s="545"/>
      <c r="J76" s="533"/>
      <c r="K76" s="533"/>
      <c r="L76" s="533"/>
      <c r="O76" s="533"/>
      <c r="P76" s="593"/>
    </row>
    <row r="77" spans="1:16" x14ac:dyDescent="0.2">
      <c r="A77" s="596"/>
      <c r="B77" s="596"/>
      <c r="C77" s="596"/>
      <c r="D77" s="596"/>
      <c r="E77" s="590"/>
      <c r="F77" s="597"/>
      <c r="G77" s="533"/>
      <c r="H77" s="533"/>
      <c r="I77" s="545"/>
      <c r="J77" s="533"/>
      <c r="K77" s="533"/>
      <c r="L77" s="533"/>
      <c r="O77" s="533"/>
      <c r="P77" s="593"/>
    </row>
    <row r="78" spans="1:16" x14ac:dyDescent="0.2">
      <c r="A78" s="596"/>
      <c r="B78" s="596"/>
      <c r="C78" s="596"/>
      <c r="D78" s="596"/>
      <c r="E78" s="590"/>
      <c r="F78" s="597"/>
      <c r="G78" s="533"/>
      <c r="H78" s="533"/>
      <c r="I78" s="545"/>
      <c r="J78" s="533"/>
      <c r="K78" s="533"/>
      <c r="L78" s="533"/>
      <c r="O78" s="533"/>
      <c r="P78" s="593"/>
    </row>
    <row r="79" spans="1:16" x14ac:dyDescent="0.2">
      <c r="A79" s="596"/>
      <c r="B79" s="596"/>
      <c r="C79" s="596"/>
      <c r="D79" s="596"/>
      <c r="E79" s="590"/>
      <c r="F79" s="597"/>
      <c r="G79" s="533"/>
      <c r="H79" s="533"/>
      <c r="I79" s="545"/>
      <c r="J79" s="533"/>
      <c r="K79" s="533"/>
      <c r="L79" s="533"/>
      <c r="O79" s="533"/>
      <c r="P79" s="593"/>
    </row>
    <row r="80" spans="1:16" x14ac:dyDescent="0.2">
      <c r="A80" s="596"/>
      <c r="B80" s="596"/>
      <c r="C80" s="596"/>
      <c r="D80" s="596"/>
      <c r="E80" s="590"/>
      <c r="F80" s="597"/>
      <c r="G80" s="533"/>
      <c r="H80" s="533"/>
      <c r="I80" s="545"/>
      <c r="J80" s="533"/>
      <c r="K80" s="533"/>
      <c r="L80" s="533"/>
      <c r="O80" s="533"/>
      <c r="P80" s="593"/>
    </row>
    <row r="81" spans="1:19" x14ac:dyDescent="0.2">
      <c r="A81" s="596"/>
      <c r="B81" s="596"/>
      <c r="C81" s="596"/>
      <c r="D81" s="596"/>
      <c r="E81" s="590"/>
      <c r="F81" s="597"/>
      <c r="G81" s="533"/>
      <c r="H81" s="533"/>
      <c r="I81" s="545"/>
      <c r="J81" s="533"/>
      <c r="K81" s="533"/>
      <c r="L81" s="533"/>
      <c r="O81" s="533"/>
      <c r="P81" s="593"/>
    </row>
    <row r="82" spans="1:19" x14ac:dyDescent="0.2">
      <c r="A82" s="596"/>
      <c r="B82" s="596"/>
      <c r="C82" s="596"/>
      <c r="D82" s="596"/>
      <c r="E82" s="590"/>
      <c r="F82" s="597"/>
      <c r="G82" s="533"/>
      <c r="H82" s="533"/>
      <c r="I82" s="545"/>
      <c r="J82" s="533"/>
      <c r="K82" s="533"/>
      <c r="L82" s="533"/>
      <c r="O82" s="533"/>
      <c r="P82" s="593"/>
    </row>
    <row r="83" spans="1:19" x14ac:dyDescent="0.2">
      <c r="A83" s="596"/>
      <c r="B83" s="596"/>
      <c r="C83" s="596"/>
      <c r="D83" s="596"/>
      <c r="E83" s="590"/>
      <c r="F83" s="597"/>
      <c r="G83" s="593"/>
      <c r="H83" s="533"/>
      <c r="I83" s="545"/>
      <c r="J83" s="533"/>
      <c r="K83" s="533"/>
      <c r="L83" s="533"/>
      <c r="O83" s="533"/>
      <c r="P83" s="593"/>
    </row>
    <row r="84" spans="1:19" x14ac:dyDescent="0.2">
      <c r="A84" s="596"/>
      <c r="B84" s="596"/>
      <c r="C84" s="596"/>
      <c r="D84" s="596"/>
      <c r="E84" s="590"/>
      <c r="F84" s="597"/>
      <c r="G84" s="593"/>
      <c r="H84" s="533"/>
      <c r="I84" s="545"/>
      <c r="J84" s="533"/>
      <c r="K84" s="533"/>
      <c r="L84" s="533"/>
      <c r="O84" s="533"/>
      <c r="P84" s="593"/>
    </row>
    <row r="85" spans="1:19" x14ac:dyDescent="0.2">
      <c r="A85" s="596"/>
      <c r="B85" s="596"/>
      <c r="C85" s="596"/>
      <c r="D85" s="596"/>
      <c r="E85" s="590"/>
      <c r="F85" s="597"/>
      <c r="G85" s="593"/>
      <c r="H85" s="533"/>
      <c r="I85" s="545"/>
      <c r="J85" s="533"/>
      <c r="K85" s="533"/>
      <c r="L85" s="533"/>
      <c r="O85" s="533"/>
      <c r="P85" s="593"/>
    </row>
    <row r="86" spans="1:19" x14ac:dyDescent="0.2">
      <c r="A86" s="596"/>
      <c r="B86" s="596"/>
      <c r="C86" s="596"/>
      <c r="D86" s="596"/>
      <c r="E86" s="590"/>
      <c r="F86" s="597"/>
      <c r="G86" s="593"/>
      <c r="H86" s="533"/>
      <c r="I86" s="545"/>
      <c r="J86" s="533"/>
      <c r="K86" s="533"/>
      <c r="L86" s="533"/>
      <c r="O86" s="533"/>
      <c r="P86" s="593"/>
    </row>
    <row r="87" spans="1:19" x14ac:dyDescent="0.2">
      <c r="A87" s="596"/>
      <c r="B87" s="596"/>
      <c r="C87" s="596"/>
      <c r="D87" s="596"/>
      <c r="E87" s="590"/>
      <c r="F87" s="597"/>
      <c r="G87" s="533"/>
      <c r="H87" s="533"/>
      <c r="I87" s="545"/>
      <c r="J87" s="533"/>
      <c r="K87" s="533"/>
      <c r="L87" s="533"/>
      <c r="O87" s="533"/>
      <c r="P87" s="593"/>
    </row>
    <row r="88" spans="1:19" x14ac:dyDescent="0.2">
      <c r="A88" s="596"/>
      <c r="B88" s="596"/>
      <c r="C88" s="596"/>
      <c r="D88" s="596"/>
      <c r="E88" s="590"/>
      <c r="F88" s="597"/>
      <c r="G88" s="533"/>
      <c r="H88" s="533"/>
      <c r="I88" s="545"/>
      <c r="J88" s="533"/>
      <c r="K88" s="533"/>
      <c r="L88" s="533"/>
      <c r="O88" s="533"/>
      <c r="P88" s="593"/>
    </row>
    <row r="89" spans="1:19" s="596" customFormat="1" x14ac:dyDescent="0.2">
      <c r="E89" s="590"/>
      <c r="F89" s="597"/>
      <c r="G89" s="533"/>
      <c r="H89" s="533"/>
      <c r="I89" s="545"/>
      <c r="J89" s="533"/>
      <c r="K89" s="533"/>
      <c r="L89" s="533"/>
      <c r="M89" s="533"/>
      <c r="N89" s="533"/>
      <c r="O89" s="533"/>
      <c r="P89" s="593"/>
      <c r="Q89" s="593"/>
      <c r="R89" s="599"/>
      <c r="S89" s="599"/>
    </row>
    <row r="90" spans="1:19" s="596" customFormat="1" x14ac:dyDescent="0.2">
      <c r="E90" s="590"/>
      <c r="F90" s="597"/>
      <c r="G90" s="533"/>
      <c r="H90" s="533"/>
      <c r="I90" s="545"/>
      <c r="J90" s="533"/>
      <c r="K90" s="533"/>
      <c r="L90" s="533"/>
      <c r="M90" s="533"/>
      <c r="N90" s="533"/>
      <c r="O90" s="533"/>
      <c r="P90" s="593"/>
      <c r="Q90" s="593"/>
      <c r="R90" s="599"/>
      <c r="S90" s="599"/>
    </row>
    <row r="91" spans="1:19" s="596" customFormat="1" x14ac:dyDescent="0.2">
      <c r="E91" s="590"/>
      <c r="F91" s="597"/>
      <c r="G91" s="533"/>
      <c r="H91" s="533"/>
      <c r="I91" s="545"/>
      <c r="J91" s="533"/>
      <c r="K91" s="533"/>
      <c r="L91" s="533"/>
      <c r="M91" s="533"/>
      <c r="N91" s="533"/>
      <c r="O91" s="533"/>
      <c r="P91" s="593"/>
      <c r="Q91" s="593"/>
      <c r="R91" s="599"/>
      <c r="S91" s="599"/>
    </row>
    <row r="92" spans="1:19" s="596" customFormat="1" x14ac:dyDescent="0.2">
      <c r="E92" s="590"/>
      <c r="F92" s="597"/>
      <c r="G92" s="533"/>
      <c r="H92" s="533"/>
      <c r="I92" s="545"/>
      <c r="J92" s="533"/>
      <c r="K92" s="533"/>
      <c r="L92" s="533"/>
      <c r="M92" s="533"/>
      <c r="N92" s="533"/>
      <c r="O92" s="533"/>
      <c r="P92" s="593"/>
      <c r="Q92" s="593"/>
      <c r="R92" s="599"/>
      <c r="S92" s="599"/>
    </row>
    <row r="93" spans="1:19" s="596" customFormat="1" x14ac:dyDescent="0.2">
      <c r="E93" s="590"/>
      <c r="F93" s="597"/>
      <c r="G93" s="533"/>
      <c r="H93" s="533"/>
      <c r="I93" s="545"/>
      <c r="J93" s="533"/>
      <c r="K93" s="533"/>
      <c r="L93" s="533"/>
      <c r="M93" s="533"/>
      <c r="N93" s="533"/>
      <c r="O93" s="533"/>
      <c r="P93" s="593"/>
      <c r="Q93" s="593"/>
      <c r="R93" s="599"/>
      <c r="S93" s="599"/>
    </row>
    <row r="94" spans="1:19" s="596" customFormat="1" x14ac:dyDescent="0.2">
      <c r="E94" s="590"/>
      <c r="F94" s="597"/>
      <c r="G94" s="533"/>
      <c r="H94" s="533"/>
      <c r="I94" s="545"/>
      <c r="J94" s="533"/>
      <c r="K94" s="533"/>
      <c r="L94" s="533"/>
      <c r="M94" s="533"/>
      <c r="P94" s="599"/>
      <c r="Q94" s="599"/>
      <c r="R94" s="599"/>
      <c r="S94" s="599"/>
    </row>
    <row r="95" spans="1:19" s="596" customFormat="1" x14ac:dyDescent="0.2">
      <c r="E95" s="590"/>
      <c r="F95" s="597"/>
      <c r="G95" s="533"/>
      <c r="H95" s="533"/>
      <c r="I95" s="545"/>
      <c r="J95" s="533"/>
      <c r="K95" s="533"/>
      <c r="L95" s="533"/>
      <c r="M95" s="533"/>
      <c r="P95" s="599"/>
      <c r="Q95" s="599"/>
      <c r="R95" s="599"/>
      <c r="S95" s="599"/>
    </row>
    <row r="96" spans="1:19" s="596" customFormat="1" x14ac:dyDescent="0.2">
      <c r="E96" s="590"/>
      <c r="F96" s="597"/>
      <c r="G96" s="533"/>
      <c r="H96" s="533"/>
      <c r="I96" s="545"/>
      <c r="J96" s="533"/>
      <c r="K96" s="533"/>
      <c r="L96" s="533"/>
      <c r="M96" s="533"/>
      <c r="P96" s="599"/>
      <c r="Q96" s="599"/>
      <c r="R96" s="599"/>
      <c r="S96" s="599"/>
    </row>
    <row r="97" spans="5:19" s="596" customFormat="1" x14ac:dyDescent="0.2">
      <c r="E97" s="590"/>
      <c r="F97" s="597"/>
      <c r="G97" s="533"/>
      <c r="H97" s="533"/>
      <c r="I97" s="545"/>
      <c r="J97" s="533"/>
      <c r="K97" s="533"/>
      <c r="L97" s="533"/>
      <c r="M97" s="533"/>
      <c r="P97" s="599"/>
      <c r="Q97" s="599"/>
      <c r="R97" s="599"/>
      <c r="S97" s="599"/>
    </row>
    <row r="98" spans="5:19" s="596" customFormat="1" x14ac:dyDescent="0.2">
      <c r="E98" s="590"/>
      <c r="F98" s="597"/>
      <c r="G98" s="533"/>
      <c r="H98" s="533"/>
      <c r="I98" s="545"/>
      <c r="J98" s="533"/>
      <c r="K98" s="533"/>
      <c r="L98" s="533"/>
      <c r="M98" s="533"/>
      <c r="P98" s="599"/>
      <c r="Q98" s="599"/>
      <c r="R98" s="599"/>
      <c r="S98" s="599"/>
    </row>
    <row r="99" spans="5:19" s="596" customFormat="1" x14ac:dyDescent="0.2">
      <c r="E99" s="590"/>
      <c r="F99" s="597"/>
      <c r="G99" s="533"/>
      <c r="H99" s="533"/>
      <c r="I99" s="545"/>
      <c r="J99" s="533"/>
      <c r="K99" s="533"/>
      <c r="L99" s="533"/>
      <c r="M99" s="533"/>
      <c r="P99" s="599"/>
      <c r="Q99" s="599"/>
      <c r="R99" s="599"/>
      <c r="S99" s="599"/>
    </row>
    <row r="100" spans="5:19" s="596" customFormat="1" x14ac:dyDescent="0.2">
      <c r="E100" s="590"/>
      <c r="F100" s="597"/>
      <c r="G100" s="533"/>
      <c r="H100" s="533"/>
      <c r="I100" s="545"/>
      <c r="J100" s="533"/>
      <c r="K100" s="533"/>
      <c r="L100" s="533"/>
      <c r="M100" s="533"/>
      <c r="P100" s="599"/>
      <c r="Q100" s="599"/>
      <c r="R100" s="599"/>
      <c r="S100" s="599"/>
    </row>
    <row r="101" spans="5:19" s="596" customFormat="1" x14ac:dyDescent="0.2">
      <c r="E101" s="590"/>
      <c r="F101" s="597"/>
      <c r="G101" s="533"/>
      <c r="H101" s="533"/>
      <c r="I101" s="545"/>
      <c r="J101" s="533"/>
      <c r="K101" s="533"/>
      <c r="L101" s="533"/>
      <c r="M101" s="533"/>
      <c r="P101" s="599"/>
      <c r="Q101" s="599"/>
      <c r="R101" s="599"/>
      <c r="S101" s="599"/>
    </row>
    <row r="102" spans="5:19" s="596" customFormat="1" x14ac:dyDescent="0.2">
      <c r="E102" s="590"/>
      <c r="F102" s="597"/>
      <c r="G102" s="533"/>
      <c r="H102" s="533"/>
      <c r="I102" s="545"/>
      <c r="J102" s="533"/>
      <c r="K102" s="533"/>
      <c r="L102" s="533"/>
      <c r="M102" s="533"/>
      <c r="P102" s="599"/>
      <c r="Q102" s="599"/>
      <c r="R102" s="599"/>
      <c r="S102" s="599"/>
    </row>
    <row r="103" spans="5:19" s="596" customFormat="1" x14ac:dyDescent="0.2">
      <c r="E103" s="590"/>
      <c r="F103" s="597"/>
      <c r="G103" s="533"/>
      <c r="H103" s="533"/>
      <c r="I103" s="545"/>
      <c r="J103" s="533"/>
      <c r="K103" s="533"/>
      <c r="L103" s="533"/>
      <c r="M103" s="533"/>
      <c r="P103" s="599"/>
      <c r="Q103" s="599"/>
      <c r="R103" s="599"/>
      <c r="S103" s="599"/>
    </row>
    <row r="104" spans="5:19" s="596" customFormat="1" x14ac:dyDescent="0.2">
      <c r="E104" s="590"/>
      <c r="F104" s="597"/>
      <c r="G104" s="533"/>
      <c r="H104" s="533"/>
      <c r="I104" s="545"/>
      <c r="J104" s="533"/>
      <c r="K104" s="533"/>
      <c r="L104" s="533"/>
      <c r="M104" s="533"/>
      <c r="P104" s="599"/>
      <c r="Q104" s="599"/>
      <c r="R104" s="599"/>
      <c r="S104" s="599"/>
    </row>
    <row r="105" spans="5:19" s="596" customFormat="1" x14ac:dyDescent="0.2">
      <c r="E105" s="590"/>
      <c r="F105" s="597"/>
      <c r="G105" s="533"/>
      <c r="H105" s="533"/>
      <c r="I105" s="545"/>
      <c r="J105" s="533"/>
      <c r="K105" s="533"/>
      <c r="L105" s="533"/>
      <c r="M105" s="533"/>
      <c r="P105" s="599"/>
      <c r="Q105" s="599"/>
      <c r="R105" s="599"/>
      <c r="S105" s="599"/>
    </row>
    <row r="106" spans="5:19" s="596" customFormat="1" x14ac:dyDescent="0.2">
      <c r="E106" s="590"/>
      <c r="F106" s="597"/>
      <c r="G106" s="533"/>
      <c r="H106" s="533"/>
      <c r="I106" s="545"/>
      <c r="J106" s="533"/>
      <c r="K106" s="533"/>
      <c r="L106" s="533"/>
      <c r="M106" s="533"/>
      <c r="P106" s="599"/>
      <c r="Q106" s="599"/>
      <c r="R106" s="599"/>
      <c r="S106" s="599"/>
    </row>
    <row r="107" spans="5:19" s="596" customFormat="1" x14ac:dyDescent="0.2">
      <c r="E107" s="590"/>
      <c r="F107" s="597"/>
      <c r="G107" s="533"/>
      <c r="H107" s="533"/>
      <c r="I107" s="545"/>
      <c r="J107" s="533"/>
      <c r="K107" s="533"/>
      <c r="L107" s="533"/>
      <c r="M107" s="533"/>
      <c r="P107" s="599"/>
      <c r="Q107" s="599"/>
      <c r="R107" s="599"/>
      <c r="S107" s="599"/>
    </row>
    <row r="108" spans="5:19" s="596" customFormat="1" x14ac:dyDescent="0.2">
      <c r="E108" s="590"/>
      <c r="F108" s="597"/>
      <c r="G108" s="533"/>
      <c r="H108" s="533"/>
      <c r="I108" s="545"/>
      <c r="J108" s="533"/>
      <c r="K108" s="533"/>
      <c r="L108" s="533"/>
      <c r="M108" s="533"/>
      <c r="P108" s="599"/>
      <c r="Q108" s="599"/>
      <c r="R108" s="599"/>
      <c r="S108" s="599"/>
    </row>
    <row r="109" spans="5:19" s="596" customFormat="1" x14ac:dyDescent="0.2">
      <c r="E109" s="590"/>
      <c r="F109" s="597"/>
      <c r="G109" s="533"/>
      <c r="H109" s="533"/>
      <c r="I109" s="545"/>
      <c r="J109" s="533"/>
      <c r="K109" s="533"/>
      <c r="L109" s="533"/>
      <c r="P109" s="599"/>
      <c r="Q109" s="599"/>
      <c r="R109" s="599"/>
      <c r="S109" s="599"/>
    </row>
    <row r="110" spans="5:19" s="596" customFormat="1" x14ac:dyDescent="0.2">
      <c r="E110" s="590"/>
      <c r="F110" s="597"/>
      <c r="G110" s="533"/>
      <c r="H110" s="533"/>
      <c r="I110" s="545"/>
      <c r="J110" s="533"/>
      <c r="K110" s="533"/>
      <c r="L110" s="533"/>
      <c r="P110" s="599"/>
      <c r="Q110" s="599"/>
      <c r="R110" s="599"/>
      <c r="S110" s="599"/>
    </row>
    <row r="111" spans="5:19" s="596" customFormat="1" x14ac:dyDescent="0.2">
      <c r="E111" s="590"/>
      <c r="F111" s="597"/>
      <c r="G111" s="533"/>
      <c r="H111" s="533"/>
      <c r="I111" s="545"/>
      <c r="J111" s="533"/>
      <c r="K111" s="533"/>
      <c r="L111" s="533"/>
      <c r="P111" s="599"/>
      <c r="Q111" s="599"/>
      <c r="R111" s="599"/>
      <c r="S111" s="599"/>
    </row>
    <row r="112" spans="5:19" s="596" customFormat="1" x14ac:dyDescent="0.2">
      <c r="E112" s="590"/>
      <c r="F112" s="597"/>
      <c r="G112" s="533"/>
      <c r="H112" s="533"/>
      <c r="I112" s="545"/>
      <c r="J112" s="533"/>
      <c r="K112" s="533"/>
      <c r="L112" s="533"/>
      <c r="P112" s="599"/>
      <c r="Q112" s="599"/>
      <c r="R112" s="599"/>
      <c r="S112" s="599"/>
    </row>
    <row r="113" spans="5:19" s="596" customFormat="1" x14ac:dyDescent="0.2">
      <c r="E113" s="590"/>
      <c r="F113" s="597"/>
      <c r="G113" s="533"/>
      <c r="H113" s="533"/>
      <c r="I113" s="545"/>
      <c r="J113" s="533"/>
      <c r="K113" s="533"/>
      <c r="L113" s="533"/>
      <c r="P113" s="599"/>
      <c r="Q113" s="599"/>
      <c r="R113" s="599"/>
      <c r="S113" s="599"/>
    </row>
    <row r="114" spans="5:19" s="596" customFormat="1" x14ac:dyDescent="0.2">
      <c r="E114" s="590"/>
      <c r="F114" s="597"/>
      <c r="G114" s="533"/>
      <c r="H114" s="533"/>
      <c r="I114" s="545"/>
      <c r="J114" s="533"/>
      <c r="K114" s="533"/>
      <c r="L114" s="533"/>
      <c r="P114" s="599"/>
      <c r="Q114" s="599"/>
      <c r="R114" s="599"/>
      <c r="S114" s="599"/>
    </row>
    <row r="115" spans="5:19" s="596" customFormat="1" x14ac:dyDescent="0.2">
      <c r="E115" s="590"/>
      <c r="F115" s="597"/>
      <c r="G115" s="533"/>
      <c r="H115" s="533"/>
      <c r="I115" s="545"/>
      <c r="J115" s="533"/>
      <c r="K115" s="533"/>
      <c r="L115" s="533"/>
      <c r="P115" s="599"/>
      <c r="Q115" s="599"/>
      <c r="R115" s="599"/>
      <c r="S115" s="599"/>
    </row>
    <row r="116" spans="5:19" s="596" customFormat="1" x14ac:dyDescent="0.2">
      <c r="E116" s="590"/>
      <c r="F116" s="597"/>
      <c r="G116" s="533"/>
      <c r="H116" s="533"/>
      <c r="I116" s="545"/>
      <c r="J116" s="533"/>
      <c r="K116" s="533"/>
      <c r="L116" s="533"/>
      <c r="P116" s="599"/>
      <c r="Q116" s="599"/>
      <c r="R116" s="599"/>
      <c r="S116" s="599"/>
    </row>
    <row r="117" spans="5:19" s="596" customFormat="1" x14ac:dyDescent="0.2">
      <c r="E117" s="590"/>
      <c r="F117" s="597"/>
      <c r="G117" s="533"/>
      <c r="H117" s="533"/>
      <c r="I117" s="545"/>
      <c r="J117" s="533"/>
      <c r="K117" s="533"/>
      <c r="L117" s="533"/>
      <c r="P117" s="599"/>
      <c r="Q117" s="599"/>
      <c r="R117" s="599"/>
      <c r="S117" s="599"/>
    </row>
    <row r="118" spans="5:19" s="596" customFormat="1" x14ac:dyDescent="0.2">
      <c r="E118" s="590"/>
      <c r="F118" s="597"/>
      <c r="G118" s="533"/>
      <c r="H118" s="533"/>
      <c r="I118" s="545"/>
      <c r="J118" s="533"/>
      <c r="K118" s="533"/>
      <c r="L118" s="533"/>
      <c r="P118" s="599"/>
      <c r="Q118" s="599"/>
      <c r="R118" s="599"/>
      <c r="S118" s="599"/>
    </row>
    <row r="119" spans="5:19" s="596" customFormat="1" x14ac:dyDescent="0.2">
      <c r="E119" s="590"/>
      <c r="F119" s="597"/>
      <c r="G119" s="533"/>
      <c r="H119" s="533"/>
      <c r="I119" s="545"/>
      <c r="J119" s="533"/>
      <c r="K119" s="533"/>
      <c r="L119" s="533"/>
      <c r="P119" s="599"/>
      <c r="Q119" s="599"/>
      <c r="R119" s="599"/>
      <c r="S119" s="599"/>
    </row>
    <row r="120" spans="5:19" s="596" customFormat="1" x14ac:dyDescent="0.2">
      <c r="E120" s="590"/>
      <c r="F120" s="597"/>
      <c r="G120" s="533"/>
      <c r="H120" s="533"/>
      <c r="I120" s="545"/>
      <c r="J120" s="533"/>
      <c r="K120" s="533"/>
      <c r="L120" s="533"/>
      <c r="P120" s="599"/>
      <c r="Q120" s="599"/>
      <c r="R120" s="599"/>
      <c r="S120" s="599"/>
    </row>
    <row r="121" spans="5:19" s="596" customFormat="1" x14ac:dyDescent="0.2">
      <c r="E121" s="590"/>
      <c r="F121" s="597"/>
      <c r="G121" s="533"/>
      <c r="H121" s="533"/>
      <c r="I121" s="545"/>
      <c r="J121" s="533"/>
      <c r="K121" s="533"/>
      <c r="L121" s="533"/>
      <c r="P121" s="599"/>
      <c r="Q121" s="599"/>
      <c r="R121" s="599"/>
      <c r="S121" s="599"/>
    </row>
    <row r="122" spans="5:19" s="596" customFormat="1" x14ac:dyDescent="0.2">
      <c r="E122" s="590"/>
      <c r="F122" s="597"/>
      <c r="G122" s="533"/>
      <c r="H122" s="533"/>
      <c r="I122" s="545"/>
      <c r="J122" s="533"/>
      <c r="K122" s="533"/>
      <c r="L122" s="533"/>
      <c r="P122" s="599"/>
      <c r="Q122" s="599"/>
      <c r="R122" s="599"/>
      <c r="S122" s="599"/>
    </row>
    <row r="123" spans="5:19" s="596" customFormat="1" x14ac:dyDescent="0.2">
      <c r="E123" s="590"/>
      <c r="F123" s="597"/>
      <c r="G123" s="533"/>
      <c r="H123" s="533"/>
      <c r="I123" s="545"/>
      <c r="J123" s="533"/>
      <c r="K123" s="533"/>
      <c r="L123" s="533"/>
      <c r="P123" s="599"/>
      <c r="Q123" s="599"/>
      <c r="R123" s="599"/>
      <c r="S123" s="599"/>
    </row>
    <row r="124" spans="5:19" s="596" customFormat="1" x14ac:dyDescent="0.2">
      <c r="E124" s="590"/>
      <c r="F124" s="597"/>
      <c r="G124" s="533"/>
      <c r="H124" s="533"/>
      <c r="I124" s="545"/>
      <c r="J124" s="533"/>
      <c r="K124" s="533"/>
      <c r="L124" s="533"/>
      <c r="P124" s="599"/>
      <c r="Q124" s="599"/>
      <c r="R124" s="599"/>
      <c r="S124" s="599"/>
    </row>
    <row r="125" spans="5:19" s="596" customFormat="1" x14ac:dyDescent="0.2">
      <c r="E125" s="590"/>
      <c r="F125" s="597"/>
      <c r="G125" s="533"/>
      <c r="H125" s="533"/>
      <c r="I125" s="545"/>
      <c r="J125" s="533"/>
      <c r="K125" s="533"/>
      <c r="L125" s="533"/>
      <c r="P125" s="599"/>
      <c r="Q125" s="599"/>
      <c r="R125" s="599"/>
      <c r="S125" s="599"/>
    </row>
    <row r="126" spans="5:19" s="596" customFormat="1" x14ac:dyDescent="0.2">
      <c r="E126" s="590"/>
      <c r="F126" s="597"/>
      <c r="G126" s="533"/>
      <c r="H126" s="533"/>
      <c r="I126" s="545"/>
      <c r="J126" s="533"/>
      <c r="K126" s="533"/>
      <c r="L126" s="533"/>
      <c r="P126" s="599"/>
      <c r="Q126" s="599"/>
      <c r="R126" s="599"/>
      <c r="S126" s="599"/>
    </row>
    <row r="127" spans="5:19" s="596" customFormat="1" x14ac:dyDescent="0.2">
      <c r="E127" s="590"/>
      <c r="F127" s="597"/>
      <c r="G127" s="533"/>
      <c r="H127" s="533"/>
      <c r="I127" s="545"/>
      <c r="J127" s="533"/>
      <c r="K127" s="533"/>
      <c r="L127" s="533"/>
      <c r="P127" s="599"/>
      <c r="Q127" s="599"/>
      <c r="R127" s="599"/>
      <c r="S127" s="599"/>
    </row>
    <row r="128" spans="5:19" s="596" customFormat="1" x14ac:dyDescent="0.2">
      <c r="E128" s="590"/>
      <c r="F128" s="597"/>
      <c r="G128" s="533"/>
      <c r="H128" s="533"/>
      <c r="I128" s="545"/>
      <c r="J128" s="533"/>
      <c r="K128" s="533"/>
      <c r="L128" s="533"/>
      <c r="P128" s="599"/>
      <c r="Q128" s="599"/>
      <c r="R128" s="599"/>
      <c r="S128" s="599"/>
    </row>
    <row r="129" spans="5:19" s="596" customFormat="1" x14ac:dyDescent="0.2">
      <c r="E129" s="590"/>
      <c r="F129" s="597"/>
      <c r="G129" s="533"/>
      <c r="H129" s="533"/>
      <c r="I129" s="545"/>
      <c r="J129" s="533"/>
      <c r="K129" s="533"/>
      <c r="L129" s="533"/>
      <c r="P129" s="599"/>
      <c r="Q129" s="599"/>
      <c r="R129" s="599"/>
      <c r="S129" s="599"/>
    </row>
    <row r="130" spans="5:19" s="596" customFormat="1" x14ac:dyDescent="0.2">
      <c r="E130" s="590"/>
      <c r="F130" s="597"/>
      <c r="G130" s="533"/>
      <c r="H130" s="533"/>
      <c r="I130" s="545"/>
      <c r="J130" s="533"/>
      <c r="K130" s="533"/>
      <c r="L130" s="533"/>
      <c r="P130" s="599"/>
      <c r="Q130" s="599"/>
      <c r="R130" s="599"/>
      <c r="S130" s="599"/>
    </row>
    <row r="131" spans="5:19" s="596" customFormat="1" x14ac:dyDescent="0.2">
      <c r="E131" s="590"/>
      <c r="F131" s="597"/>
      <c r="G131" s="533"/>
      <c r="H131" s="533"/>
      <c r="I131" s="545"/>
      <c r="J131" s="533"/>
      <c r="K131" s="533"/>
      <c r="L131" s="533"/>
      <c r="P131" s="599"/>
      <c r="Q131" s="599"/>
      <c r="R131" s="599"/>
      <c r="S131" s="599"/>
    </row>
    <row r="132" spans="5:19" s="596" customFormat="1" x14ac:dyDescent="0.2">
      <c r="E132" s="590"/>
      <c r="F132" s="597"/>
      <c r="G132" s="533"/>
      <c r="H132" s="533"/>
      <c r="I132" s="545"/>
      <c r="J132" s="533"/>
      <c r="K132" s="533"/>
      <c r="L132" s="533"/>
      <c r="P132" s="599"/>
      <c r="Q132" s="599"/>
      <c r="R132" s="599"/>
      <c r="S132" s="599"/>
    </row>
    <row r="133" spans="5:19" s="596" customFormat="1" x14ac:dyDescent="0.2">
      <c r="E133" s="590"/>
      <c r="F133" s="597"/>
      <c r="G133" s="533"/>
      <c r="H133" s="533"/>
      <c r="I133" s="545"/>
      <c r="J133" s="533"/>
      <c r="K133" s="533"/>
      <c r="L133" s="533"/>
      <c r="P133" s="599"/>
      <c r="Q133" s="599"/>
      <c r="R133" s="599"/>
      <c r="S133" s="599"/>
    </row>
    <row r="134" spans="5:19" s="596" customFormat="1" x14ac:dyDescent="0.2">
      <c r="E134" s="590"/>
      <c r="F134" s="597"/>
      <c r="G134" s="533"/>
      <c r="H134" s="533"/>
      <c r="I134" s="545"/>
      <c r="J134" s="533"/>
      <c r="K134" s="533"/>
      <c r="L134" s="533"/>
      <c r="P134" s="599"/>
      <c r="Q134" s="599"/>
      <c r="R134" s="599"/>
      <c r="S134" s="599"/>
    </row>
    <row r="135" spans="5:19" s="596" customFormat="1" x14ac:dyDescent="0.2">
      <c r="E135" s="590"/>
      <c r="F135" s="597"/>
      <c r="G135" s="533"/>
      <c r="H135" s="533"/>
      <c r="I135" s="545"/>
      <c r="J135" s="533"/>
      <c r="K135" s="533"/>
      <c r="L135" s="533"/>
      <c r="P135" s="599"/>
      <c r="Q135" s="599"/>
      <c r="R135" s="599"/>
      <c r="S135" s="599"/>
    </row>
    <row r="136" spans="5:19" s="596" customFormat="1" x14ac:dyDescent="0.2">
      <c r="E136" s="590"/>
      <c r="F136" s="597"/>
      <c r="G136" s="533"/>
      <c r="H136" s="533"/>
      <c r="I136" s="545"/>
      <c r="J136" s="533"/>
      <c r="K136" s="533"/>
      <c r="L136" s="533"/>
      <c r="P136" s="599"/>
      <c r="Q136" s="599"/>
      <c r="R136" s="599"/>
      <c r="S136" s="599"/>
    </row>
    <row r="137" spans="5:19" s="596" customFormat="1" x14ac:dyDescent="0.2">
      <c r="E137" s="590"/>
      <c r="F137" s="597"/>
      <c r="G137" s="533"/>
      <c r="H137" s="533"/>
      <c r="I137" s="545"/>
      <c r="J137" s="533"/>
      <c r="K137" s="533"/>
      <c r="L137" s="533"/>
      <c r="P137" s="599"/>
      <c r="Q137" s="599"/>
      <c r="R137" s="599"/>
      <c r="S137" s="599"/>
    </row>
    <row r="138" spans="5:19" s="596" customFormat="1" x14ac:dyDescent="0.2">
      <c r="E138" s="590"/>
      <c r="F138" s="597"/>
      <c r="G138" s="533"/>
      <c r="H138" s="533"/>
      <c r="I138" s="545"/>
      <c r="J138" s="533"/>
      <c r="K138" s="533"/>
      <c r="L138" s="533"/>
      <c r="P138" s="599"/>
      <c r="Q138" s="599"/>
      <c r="R138" s="599"/>
      <c r="S138" s="599"/>
    </row>
    <row r="139" spans="5:19" s="596" customFormat="1" x14ac:dyDescent="0.2">
      <c r="E139" s="590"/>
      <c r="F139" s="597"/>
      <c r="G139" s="533"/>
      <c r="H139" s="533"/>
      <c r="I139" s="545"/>
      <c r="J139" s="533"/>
      <c r="K139" s="533"/>
      <c r="L139" s="533"/>
      <c r="P139" s="599"/>
      <c r="Q139" s="599"/>
      <c r="R139" s="599"/>
      <c r="S139" s="599"/>
    </row>
    <row r="140" spans="5:19" s="596" customFormat="1" x14ac:dyDescent="0.2">
      <c r="E140" s="590"/>
      <c r="F140" s="597"/>
      <c r="G140" s="533"/>
      <c r="H140" s="533"/>
      <c r="I140" s="545"/>
      <c r="J140" s="533"/>
      <c r="K140" s="533"/>
      <c r="L140" s="533"/>
      <c r="P140" s="599"/>
      <c r="Q140" s="599"/>
      <c r="R140" s="599"/>
      <c r="S140" s="599"/>
    </row>
    <row r="141" spans="5:19" s="596" customFormat="1" x14ac:dyDescent="0.2">
      <c r="E141" s="590"/>
      <c r="F141" s="597"/>
      <c r="G141" s="533"/>
      <c r="H141" s="533"/>
      <c r="I141" s="545"/>
      <c r="J141" s="533"/>
      <c r="K141" s="533"/>
      <c r="L141" s="533"/>
      <c r="P141" s="599"/>
      <c r="Q141" s="599"/>
      <c r="R141" s="599"/>
      <c r="S141" s="599"/>
    </row>
    <row r="142" spans="5:19" s="596" customFormat="1" x14ac:dyDescent="0.2">
      <c r="E142" s="590"/>
      <c r="F142" s="597"/>
      <c r="G142" s="533"/>
      <c r="H142" s="533"/>
      <c r="I142" s="545"/>
      <c r="J142" s="533"/>
      <c r="K142" s="533"/>
      <c r="L142" s="533"/>
      <c r="P142" s="599"/>
      <c r="Q142" s="599"/>
      <c r="R142" s="599"/>
      <c r="S142" s="599"/>
    </row>
    <row r="143" spans="5:19" s="596" customFormat="1" x14ac:dyDescent="0.2">
      <c r="E143" s="590"/>
      <c r="F143" s="597"/>
      <c r="G143" s="533"/>
      <c r="H143" s="533"/>
      <c r="I143" s="545"/>
      <c r="J143" s="533"/>
      <c r="K143" s="533"/>
      <c r="L143" s="533"/>
      <c r="P143" s="599"/>
      <c r="Q143" s="599"/>
      <c r="R143" s="599"/>
      <c r="S143" s="599"/>
    </row>
    <row r="144" spans="5:19" s="596" customFormat="1" x14ac:dyDescent="0.2">
      <c r="E144" s="590"/>
      <c r="F144" s="597"/>
      <c r="G144" s="533"/>
      <c r="H144" s="533"/>
      <c r="I144" s="545"/>
      <c r="J144" s="533"/>
      <c r="K144" s="533"/>
      <c r="L144" s="533"/>
      <c r="P144" s="599"/>
      <c r="Q144" s="599"/>
      <c r="R144" s="599"/>
      <c r="S144" s="599"/>
    </row>
    <row r="145" spans="1:19" s="596" customFormat="1" x14ac:dyDescent="0.2">
      <c r="E145" s="590"/>
      <c r="F145" s="597"/>
      <c r="G145" s="533"/>
      <c r="H145" s="533"/>
      <c r="I145" s="545"/>
      <c r="J145" s="533"/>
      <c r="K145" s="533"/>
      <c r="L145" s="533"/>
      <c r="P145" s="599"/>
      <c r="Q145" s="599"/>
      <c r="R145" s="599"/>
      <c r="S145" s="599"/>
    </row>
    <row r="146" spans="1:19" x14ac:dyDescent="0.2">
      <c r="A146" s="596"/>
      <c r="B146" s="596"/>
      <c r="C146" s="596"/>
      <c r="D146" s="596"/>
      <c r="E146" s="590"/>
      <c r="F146" s="597"/>
      <c r="G146" s="533"/>
      <c r="H146" s="533"/>
      <c r="I146" s="545"/>
      <c r="J146" s="533"/>
      <c r="K146" s="533"/>
      <c r="L146" s="533"/>
      <c r="M146" s="596"/>
      <c r="N146" s="596"/>
      <c r="O146" s="596"/>
      <c r="P146" s="599"/>
      <c r="Q146" s="599"/>
    </row>
    <row r="147" spans="1:19" x14ac:dyDescent="0.2">
      <c r="A147" s="596"/>
      <c r="B147" s="596"/>
      <c r="C147" s="596"/>
      <c r="D147" s="596"/>
      <c r="E147" s="590"/>
      <c r="F147" s="597"/>
      <c r="G147" s="533"/>
      <c r="H147" s="533"/>
      <c r="I147" s="545"/>
      <c r="J147" s="533"/>
      <c r="K147" s="533"/>
      <c r="L147" s="533"/>
      <c r="M147" s="596"/>
      <c r="N147" s="596"/>
      <c r="O147" s="596"/>
      <c r="P147" s="599"/>
      <c r="Q147" s="599"/>
    </row>
    <row r="148" spans="1:19" x14ac:dyDescent="0.2">
      <c r="A148" s="596"/>
      <c r="B148" s="596"/>
      <c r="C148" s="596"/>
      <c r="D148" s="596"/>
      <c r="E148" s="590"/>
      <c r="F148" s="597"/>
      <c r="G148" s="533"/>
      <c r="H148" s="533"/>
      <c r="I148" s="545"/>
      <c r="J148" s="533"/>
      <c r="K148" s="533"/>
      <c r="L148" s="533"/>
      <c r="M148" s="596"/>
      <c r="N148" s="596"/>
      <c r="O148" s="596"/>
      <c r="P148" s="599"/>
      <c r="Q148" s="599"/>
    </row>
    <row r="149" spans="1:19" x14ac:dyDescent="0.2">
      <c r="A149" s="596"/>
      <c r="B149" s="596"/>
      <c r="C149" s="596"/>
      <c r="D149" s="596"/>
      <c r="E149" s="590"/>
      <c r="F149" s="597"/>
      <c r="G149" s="533"/>
      <c r="H149" s="533"/>
      <c r="I149" s="545"/>
      <c r="J149" s="533"/>
      <c r="K149" s="533"/>
      <c r="L149" s="533"/>
      <c r="M149" s="596"/>
      <c r="N149" s="596"/>
      <c r="O149" s="596"/>
      <c r="P149" s="599"/>
      <c r="Q149" s="599"/>
    </row>
    <row r="150" spans="1:19" x14ac:dyDescent="0.2">
      <c r="A150" s="596"/>
      <c r="B150" s="596"/>
      <c r="C150" s="596"/>
      <c r="D150" s="596"/>
      <c r="E150" s="590"/>
      <c r="F150" s="597"/>
      <c r="G150" s="533"/>
      <c r="H150" s="533"/>
      <c r="I150" s="545"/>
      <c r="J150" s="533"/>
      <c r="K150" s="533"/>
      <c r="L150" s="533"/>
      <c r="M150" s="596"/>
      <c r="N150" s="596"/>
      <c r="O150" s="596"/>
      <c r="P150" s="599"/>
      <c r="Q150" s="599"/>
    </row>
    <row r="151" spans="1:19" x14ac:dyDescent="0.2">
      <c r="A151" s="596"/>
      <c r="B151" s="596"/>
      <c r="C151" s="596"/>
      <c r="D151" s="596"/>
      <c r="E151" s="590"/>
      <c r="F151" s="597"/>
      <c r="G151" s="533"/>
      <c r="H151" s="533"/>
      <c r="I151" s="545"/>
      <c r="J151" s="533"/>
      <c r="K151" s="533"/>
      <c r="L151" s="533"/>
      <c r="M151" s="596"/>
    </row>
    <row r="152" spans="1:19" x14ac:dyDescent="0.2">
      <c r="A152" s="596"/>
      <c r="B152" s="596"/>
      <c r="C152" s="596"/>
      <c r="D152" s="596"/>
      <c r="E152" s="590"/>
      <c r="F152" s="597"/>
      <c r="G152" s="533"/>
      <c r="H152" s="533"/>
      <c r="I152" s="545"/>
      <c r="J152" s="533"/>
      <c r="K152" s="533"/>
      <c r="L152" s="533"/>
      <c r="M152" s="596"/>
    </row>
    <row r="153" spans="1:19" x14ac:dyDescent="0.2">
      <c r="A153" s="596"/>
      <c r="B153" s="596"/>
      <c r="C153" s="596"/>
      <c r="D153" s="596"/>
      <c r="E153" s="590"/>
      <c r="F153" s="597"/>
      <c r="G153" s="533"/>
      <c r="H153" s="533"/>
      <c r="I153" s="545"/>
      <c r="J153" s="533"/>
      <c r="K153" s="533"/>
      <c r="L153" s="533"/>
      <c r="M153" s="596"/>
    </row>
    <row r="154" spans="1:19" x14ac:dyDescent="0.2">
      <c r="A154" s="596"/>
      <c r="B154" s="596"/>
      <c r="C154" s="596"/>
      <c r="D154" s="596"/>
      <c r="E154" s="590"/>
      <c r="F154" s="597"/>
      <c r="G154" s="533"/>
      <c r="H154" s="533"/>
      <c r="I154" s="545"/>
      <c r="J154" s="533"/>
      <c r="K154" s="533"/>
      <c r="L154" s="533"/>
      <c r="M154" s="596"/>
    </row>
    <row r="155" spans="1:19" x14ac:dyDescent="0.2">
      <c r="J155" s="533"/>
      <c r="K155" s="533"/>
      <c r="L155" s="533"/>
      <c r="M155" s="596"/>
    </row>
    <row r="156" spans="1:19" x14ac:dyDescent="0.2">
      <c r="J156" s="533"/>
      <c r="K156" s="533"/>
      <c r="L156" s="533"/>
      <c r="M156" s="596"/>
    </row>
    <row r="157" spans="1:19" x14ac:dyDescent="0.2">
      <c r="J157" s="533"/>
      <c r="K157" s="533"/>
      <c r="L157" s="533"/>
      <c r="M157" s="596"/>
    </row>
    <row r="158" spans="1:19" x14ac:dyDescent="0.2">
      <c r="J158" s="533"/>
      <c r="K158" s="533"/>
      <c r="L158" s="533"/>
      <c r="M158" s="596"/>
    </row>
    <row r="159" spans="1:19" x14ac:dyDescent="0.2">
      <c r="J159" s="533"/>
      <c r="K159" s="533"/>
      <c r="L159" s="533"/>
      <c r="M159" s="596"/>
    </row>
    <row r="160" spans="1:19" x14ac:dyDescent="0.2">
      <c r="J160" s="533"/>
      <c r="K160" s="533"/>
      <c r="L160" s="533"/>
      <c r="M160" s="596"/>
    </row>
    <row r="161" spans="11:13" x14ac:dyDescent="0.2">
      <c r="K161" s="533"/>
      <c r="L161" s="533"/>
      <c r="M161" s="596"/>
    </row>
    <row r="162" spans="11:13" x14ac:dyDescent="0.2">
      <c r="K162" s="533"/>
      <c r="L162" s="533"/>
      <c r="M162" s="596"/>
    </row>
    <row r="163" spans="11:13" x14ac:dyDescent="0.2">
      <c r="K163" s="533"/>
      <c r="L163" s="533"/>
      <c r="M163" s="596"/>
    </row>
    <row r="164" spans="11:13" x14ac:dyDescent="0.2">
      <c r="L164" s="533"/>
      <c r="M164" s="596"/>
    </row>
    <row r="165" spans="11:13" x14ac:dyDescent="0.2">
      <c r="L165" s="533"/>
      <c r="M165" s="596"/>
    </row>
    <row r="166" spans="11:13" x14ac:dyDescent="0.2">
      <c r="L166" s="533"/>
    </row>
    <row r="167" spans="11:13" x14ac:dyDescent="0.2">
      <c r="L167" s="533"/>
    </row>
    <row r="168" spans="11:13" x14ac:dyDescent="0.2">
      <c r="L168" s="533"/>
    </row>
  </sheetData>
  <mergeCells count="5">
    <mergeCell ref="A7:L7"/>
    <mergeCell ref="M7:O7"/>
    <mergeCell ref="U7:V7"/>
    <mergeCell ref="D9:F9"/>
    <mergeCell ref="H9:K9"/>
  </mergeCells>
  <conditionalFormatting sqref="P57:P73 Z9:Z56">
    <cfRule type="aboveAverage" dxfId="3" priority="1" aboveAverage="0" stdDev="1"/>
    <cfRule type="aboveAverage" dxfId="2" priority="2" stdDev="1"/>
  </conditionalFormatting>
  <dataValidations disablePrompts="1" count="1">
    <dataValidation type="list" allowBlank="1" showInputMessage="1" showErrorMessage="1" sqref="B5" xr:uid="{C4FFD9CA-6853-4AAF-8FC6-FEFED490D587}">
      <formula1>$AB$5:$AB$8</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1088-B09B-4ED0-8BBC-284B9BF734BE}">
  <dimension ref="A1:AJ195"/>
  <sheetViews>
    <sheetView zoomScale="90" zoomScaleNormal="90" workbookViewId="0">
      <selection activeCell="H91" sqref="H91"/>
    </sheetView>
  </sheetViews>
  <sheetFormatPr defaultColWidth="7.88671875" defaultRowHeight="10.199999999999999" x14ac:dyDescent="0.2"/>
  <cols>
    <col min="1" max="1" width="15.6640625" style="533" bestFit="1" customWidth="1"/>
    <col min="2" max="2" width="9.5546875" style="533" bestFit="1" customWidth="1"/>
    <col min="3" max="3" width="5.109375" style="600" customWidth="1"/>
    <col min="4" max="4" width="8.44140625" style="600" bestFit="1" customWidth="1"/>
    <col min="5" max="6" width="8.6640625" style="600" bestFit="1" customWidth="1"/>
    <col min="7" max="7" width="14.88671875" style="596" bestFit="1" customWidth="1"/>
    <col min="8" max="8" width="10.33203125" style="599" customWidth="1"/>
    <col min="9" max="10" width="10.33203125" style="596" bestFit="1" customWidth="1"/>
    <col min="11" max="11" width="10.33203125" style="590" bestFit="1" customWidth="1"/>
    <col min="12" max="12" width="16.33203125" style="597" bestFit="1" customWidth="1"/>
    <col min="13" max="13" width="7.6640625" style="533" bestFit="1" customWidth="1"/>
    <col min="14" max="14" width="6.109375" style="533" bestFit="1" customWidth="1"/>
    <col min="15" max="15" width="9.33203125" style="545" customWidth="1"/>
    <col min="16" max="16" width="7.6640625" style="426" bestFit="1" customWidth="1"/>
    <col min="17" max="17" width="6.6640625" style="593" bestFit="1" customWidth="1"/>
    <col min="18" max="18" width="8.44140625" style="593" customWidth="1"/>
    <col min="19" max="19" width="9.44140625" style="593" customWidth="1"/>
    <col min="20" max="20" width="17.109375" style="593" bestFit="1" customWidth="1"/>
    <col min="21" max="21" width="11.33203125" style="593" bestFit="1" customWidth="1"/>
    <col min="22" max="22" width="17.33203125" style="593" bestFit="1" customWidth="1"/>
    <col min="23" max="23" width="11.6640625" style="593" bestFit="1" customWidth="1"/>
    <col min="24" max="24" width="17.33203125" style="593" bestFit="1" customWidth="1"/>
    <col min="25" max="25" width="11.6640625" style="593" bestFit="1" customWidth="1"/>
    <col min="26" max="26" width="10.44140625" style="593" bestFit="1" customWidth="1"/>
    <col min="27" max="27" width="14" style="593" bestFit="1" customWidth="1"/>
    <col min="28" max="28" width="15.6640625" style="593" bestFit="1" customWidth="1"/>
    <col min="29" max="29" width="13.6640625" style="593" bestFit="1" customWidth="1"/>
    <col min="30" max="30" width="17.33203125" style="533" bestFit="1" customWidth="1"/>
    <col min="31" max="31" width="21.109375" style="533" bestFit="1" customWidth="1"/>
    <col min="32" max="32" width="11.33203125" style="533" customWidth="1"/>
    <col min="33" max="37" width="5.33203125" style="533" customWidth="1"/>
    <col min="38" max="38" width="17" style="533" customWidth="1"/>
    <col min="39" max="16384" width="7.88671875" style="533"/>
  </cols>
  <sheetData>
    <row r="1" spans="1:34" s="369" customFormat="1" ht="13.2" x14ac:dyDescent="0.25">
      <c r="A1" s="361" t="s">
        <v>104</v>
      </c>
      <c r="B1" s="362" t="s">
        <v>159</v>
      </c>
      <c r="C1" s="363"/>
      <c r="D1" s="362"/>
      <c r="E1" s="364"/>
      <c r="F1" s="364"/>
      <c r="G1" s="365"/>
      <c r="H1" s="366" t="s">
        <v>105</v>
      </c>
      <c r="I1" s="367">
        <f>C80</f>
        <v>2340</v>
      </c>
      <c r="J1" s="368"/>
      <c r="K1" s="362"/>
      <c r="L1" s="362"/>
      <c r="N1" s="370"/>
      <c r="P1" s="371"/>
      <c r="Q1" s="371"/>
      <c r="R1" s="371"/>
      <c r="S1" s="371"/>
      <c r="T1" s="371"/>
      <c r="U1" s="371"/>
      <c r="V1" s="371"/>
      <c r="W1" s="371"/>
      <c r="X1" s="371"/>
      <c r="Y1" s="371"/>
      <c r="Z1" s="371"/>
      <c r="AA1" s="371"/>
      <c r="AB1" s="371"/>
      <c r="AC1" s="371"/>
    </row>
    <row r="2" spans="1:34" s="369" customFormat="1" ht="13.2" x14ac:dyDescent="0.25">
      <c r="A2" s="372" t="s">
        <v>106</v>
      </c>
      <c r="B2" s="362" t="s">
        <v>173</v>
      </c>
      <c r="C2" s="373"/>
      <c r="D2" s="362"/>
      <c r="E2" s="374"/>
      <c r="F2" s="374"/>
      <c r="G2" s="375"/>
      <c r="H2" s="376" t="s">
        <v>107</v>
      </c>
      <c r="I2" s="377">
        <f>AF53</f>
        <v>933.5</v>
      </c>
      <c r="J2" s="378"/>
      <c r="K2" s="362"/>
      <c r="L2" s="362"/>
      <c r="N2" s="379"/>
      <c r="P2" s="371"/>
      <c r="Q2" s="371"/>
      <c r="R2" s="371"/>
      <c r="S2" s="371"/>
      <c r="T2" s="371"/>
      <c r="U2" s="371"/>
      <c r="V2" s="371"/>
      <c r="W2" s="371"/>
      <c r="X2" s="371"/>
      <c r="Y2" s="371"/>
      <c r="Z2" s="371"/>
      <c r="AA2" s="371"/>
      <c r="AB2" s="371"/>
      <c r="AC2" s="371"/>
    </row>
    <row r="3" spans="1:34" s="383" customFormat="1" ht="11.25" customHeight="1" x14ac:dyDescent="0.25">
      <c r="A3" s="380" t="s">
        <v>108</v>
      </c>
      <c r="B3" s="632">
        <v>45786</v>
      </c>
      <c r="C3" s="373"/>
      <c r="D3" s="374"/>
      <c r="E3" s="374"/>
      <c r="F3" s="374"/>
      <c r="G3" s="375"/>
      <c r="H3" s="380" t="s">
        <v>109</v>
      </c>
      <c r="I3" s="386">
        <f>AF53/100</f>
        <v>9.3350000000000009</v>
      </c>
      <c r="J3" s="378"/>
      <c r="K3" s="362"/>
      <c r="L3" s="362"/>
      <c r="N3" s="384"/>
      <c r="P3" s="385"/>
      <c r="Q3" s="385"/>
      <c r="R3" s="385"/>
      <c r="S3" s="385"/>
      <c r="T3" s="385"/>
      <c r="U3" s="385"/>
      <c r="V3" s="385"/>
      <c r="W3" s="385"/>
      <c r="X3" s="385"/>
      <c r="Y3" s="385"/>
      <c r="Z3" s="385"/>
      <c r="AA3" s="385"/>
      <c r="AB3" s="385"/>
      <c r="AC3" s="385"/>
    </row>
    <row r="4" spans="1:34" s="369" customFormat="1" ht="13.2" x14ac:dyDescent="0.25">
      <c r="A4" s="380" t="s">
        <v>110</v>
      </c>
      <c r="B4" s="381" t="s">
        <v>219</v>
      </c>
      <c r="C4" s="373"/>
      <c r="D4" s="374"/>
      <c r="E4" s="374"/>
      <c r="F4" s="374"/>
      <c r="G4" s="375"/>
      <c r="H4" s="380" t="s">
        <v>111</v>
      </c>
      <c r="I4" s="386">
        <f>S42</f>
        <v>0.44195975836225071</v>
      </c>
      <c r="J4" s="378"/>
      <c r="K4" s="362"/>
      <c r="L4" s="362"/>
      <c r="M4" s="370"/>
      <c r="N4" s="370"/>
      <c r="P4" s="371"/>
      <c r="Q4" s="371"/>
      <c r="R4" s="371"/>
      <c r="S4" s="371"/>
      <c r="T4" s="371"/>
      <c r="U4" s="371"/>
      <c r="V4" s="371"/>
      <c r="W4" s="371"/>
      <c r="X4" s="371"/>
      <c r="Y4" s="371"/>
      <c r="Z4" s="371"/>
      <c r="AA4" s="371"/>
      <c r="AB4" s="371"/>
      <c r="AC4" s="371"/>
    </row>
    <row r="5" spans="1:34" s="390" customFormat="1" ht="13.2" x14ac:dyDescent="0.25">
      <c r="A5" s="372" t="s">
        <v>112</v>
      </c>
      <c r="B5" s="387" t="s">
        <v>113</v>
      </c>
      <c r="C5" s="373"/>
      <c r="D5" s="374"/>
      <c r="E5" s="374"/>
      <c r="F5" s="374"/>
      <c r="G5" s="375"/>
      <c r="H5" s="380"/>
      <c r="I5" s="388"/>
      <c r="J5" s="378"/>
      <c r="K5" s="362"/>
      <c r="L5" s="362"/>
      <c r="M5" s="389"/>
      <c r="N5" s="389"/>
      <c r="P5" s="391"/>
      <c r="Q5" s="391"/>
      <c r="R5" s="391"/>
      <c r="S5" s="391"/>
      <c r="T5" s="391"/>
      <c r="U5" s="391"/>
      <c r="V5" s="391"/>
      <c r="W5" s="391"/>
      <c r="X5" s="391"/>
      <c r="Y5" s="391"/>
      <c r="Z5" s="391"/>
      <c r="AA5" s="391"/>
      <c r="AB5" s="391"/>
      <c r="AC5" s="391"/>
    </row>
    <row r="6" spans="1:34" s="389" customFormat="1" ht="13.8" thickBot="1" x14ac:dyDescent="0.25">
      <c r="A6" s="392"/>
      <c r="B6" s="393"/>
      <c r="C6" s="394"/>
      <c r="D6" s="395"/>
      <c r="E6" s="395"/>
      <c r="F6" s="395"/>
      <c r="G6" s="396"/>
      <c r="H6" s="397"/>
      <c r="I6" s="398"/>
      <c r="J6" s="396"/>
      <c r="K6" s="393"/>
      <c r="L6" s="393"/>
      <c r="M6" s="399"/>
      <c r="P6" s="400"/>
      <c r="Q6" s="400"/>
      <c r="R6" s="400"/>
      <c r="S6" s="400"/>
      <c r="T6" s="400"/>
      <c r="U6" s="400"/>
      <c r="V6" s="400"/>
      <c r="W6" s="400"/>
      <c r="X6" s="400"/>
      <c r="Y6" s="400"/>
      <c r="Z6" s="400"/>
      <c r="AA6" s="400"/>
      <c r="AB6" s="400"/>
      <c r="AC6" s="400"/>
    </row>
    <row r="7" spans="1:34" s="390" customFormat="1" ht="13.2" customHeight="1" x14ac:dyDescent="0.2">
      <c r="A7" s="952" t="s">
        <v>114</v>
      </c>
      <c r="B7" s="953"/>
      <c r="C7" s="953"/>
      <c r="D7" s="953"/>
      <c r="E7" s="953"/>
      <c r="F7" s="953"/>
      <c r="G7" s="953"/>
      <c r="H7" s="953"/>
      <c r="I7" s="953"/>
      <c r="J7" s="953"/>
      <c r="K7" s="953"/>
      <c r="L7" s="965"/>
      <c r="M7" s="609"/>
      <c r="N7" s="610" t="s">
        <v>115</v>
      </c>
      <c r="O7" s="611"/>
      <c r="P7" s="612" t="s">
        <v>116</v>
      </c>
      <c r="Q7" s="402"/>
      <c r="R7" s="963" t="s">
        <v>117</v>
      </c>
      <c r="S7" s="966"/>
      <c r="T7" s="963" t="s">
        <v>164</v>
      </c>
      <c r="U7" s="966"/>
      <c r="V7" s="966"/>
      <c r="W7" s="966"/>
      <c r="X7" s="966"/>
      <c r="Y7" s="966"/>
      <c r="Z7" s="966"/>
      <c r="AA7" s="966"/>
      <c r="AB7" s="963" t="s">
        <v>165</v>
      </c>
      <c r="AC7" s="964"/>
      <c r="AD7" s="613"/>
      <c r="AE7" s="950" t="s">
        <v>118</v>
      </c>
      <c r="AF7" s="951"/>
      <c r="AG7" s="389"/>
      <c r="AH7" s="389"/>
    </row>
    <row r="8" spans="1:34" s="420" customFormat="1" ht="11.25" customHeight="1" x14ac:dyDescent="0.2">
      <c r="A8" s="404"/>
      <c r="B8" s="399"/>
      <c r="C8" s="405"/>
      <c r="D8" s="407"/>
      <c r="E8" s="407"/>
      <c r="F8" s="407"/>
      <c r="G8" s="409"/>
      <c r="H8" s="410"/>
      <c r="I8" s="410"/>
      <c r="J8" s="410"/>
      <c r="K8" s="410"/>
      <c r="L8" s="614"/>
      <c r="M8" s="410"/>
      <c r="N8" s="413"/>
      <c r="O8" s="405"/>
      <c r="P8" s="615"/>
      <c r="Q8" s="416"/>
      <c r="R8" s="415"/>
      <c r="S8" s="415"/>
      <c r="T8" s="615"/>
      <c r="U8" s="415"/>
      <c r="V8" s="415"/>
      <c r="W8" s="415"/>
      <c r="X8" s="415"/>
      <c r="Y8" s="415"/>
      <c r="Z8" s="415"/>
      <c r="AA8" s="415"/>
      <c r="AB8" s="615"/>
      <c r="AC8" s="416"/>
      <c r="AD8" s="616"/>
      <c r="AE8" s="418"/>
      <c r="AF8" s="418"/>
      <c r="AG8" s="419"/>
    </row>
    <row r="9" spans="1:34" s="431" customFormat="1" x14ac:dyDescent="0.2">
      <c r="A9" s="421"/>
      <c r="B9" s="389"/>
      <c r="C9" s="422"/>
      <c r="D9" s="957" t="s">
        <v>119</v>
      </c>
      <c r="E9" s="958"/>
      <c r="F9" s="959"/>
      <c r="G9" s="423"/>
      <c r="H9" s="960" t="s">
        <v>120</v>
      </c>
      <c r="I9" s="961"/>
      <c r="J9" s="961"/>
      <c r="K9" s="962"/>
      <c r="L9" s="424"/>
      <c r="M9" s="425"/>
      <c r="N9" s="413" t="s">
        <v>121</v>
      </c>
      <c r="O9" s="414"/>
      <c r="P9" s="415"/>
      <c r="Q9" s="416"/>
      <c r="R9" s="426"/>
      <c r="S9" s="426"/>
      <c r="T9" s="617"/>
      <c r="U9" s="426"/>
      <c r="V9" s="426"/>
      <c r="W9" s="426"/>
      <c r="X9" s="426"/>
      <c r="Y9" s="426"/>
      <c r="Z9" s="426"/>
      <c r="AA9" s="426"/>
      <c r="AB9" s="617"/>
      <c r="AC9" s="618"/>
      <c r="AD9" s="616"/>
      <c r="AE9" s="427"/>
      <c r="AF9" s="428"/>
      <c r="AG9" s="429"/>
      <c r="AH9" s="430"/>
    </row>
    <row r="10" spans="1:34" s="431" customFormat="1" x14ac:dyDescent="0.2">
      <c r="A10" s="432" t="s">
        <v>122</v>
      </c>
      <c r="B10" s="433" t="s">
        <v>51</v>
      </c>
      <c r="C10" s="434" t="s">
        <v>123</v>
      </c>
      <c r="D10" s="435" t="s">
        <v>124</v>
      </c>
      <c r="E10" s="436" t="s">
        <v>125</v>
      </c>
      <c r="F10" s="437" t="s">
        <v>126</v>
      </c>
      <c r="G10" s="423" t="s">
        <v>127</v>
      </c>
      <c r="H10" s="438" t="s">
        <v>128</v>
      </c>
      <c r="I10" s="438" t="s">
        <v>129</v>
      </c>
      <c r="J10" s="438" t="s">
        <v>130</v>
      </c>
      <c r="K10" s="438" t="s">
        <v>131</v>
      </c>
      <c r="L10" s="424" t="s">
        <v>132</v>
      </c>
      <c r="M10" s="439" t="s">
        <v>133</v>
      </c>
      <c r="N10" s="440" t="s">
        <v>134</v>
      </c>
      <c r="O10" s="441" t="s">
        <v>135</v>
      </c>
      <c r="P10" s="442" t="s">
        <v>136</v>
      </c>
      <c r="Q10" s="416" t="s">
        <v>137</v>
      </c>
      <c r="R10" s="442" t="s">
        <v>137</v>
      </c>
      <c r="S10" s="442" t="s">
        <v>136</v>
      </c>
      <c r="T10" s="615" t="s">
        <v>174</v>
      </c>
      <c r="U10" s="415" t="s">
        <v>175</v>
      </c>
      <c r="V10" s="415" t="s">
        <v>176</v>
      </c>
      <c r="W10" s="415" t="s">
        <v>177</v>
      </c>
      <c r="X10" s="415" t="s">
        <v>178</v>
      </c>
      <c r="Y10" s="415" t="s">
        <v>179</v>
      </c>
      <c r="Z10" s="415" t="s">
        <v>167</v>
      </c>
      <c r="AA10" s="415" t="s">
        <v>168</v>
      </c>
      <c r="AB10" s="615" t="s">
        <v>166</v>
      </c>
      <c r="AC10" s="416" t="s">
        <v>169</v>
      </c>
      <c r="AD10" s="443" t="s">
        <v>138</v>
      </c>
      <c r="AE10" s="427" t="s">
        <v>139</v>
      </c>
      <c r="AF10" s="427" t="s">
        <v>140</v>
      </c>
      <c r="AG10" s="444"/>
    </row>
    <row r="11" spans="1:34" s="431" customFormat="1" ht="12" thickBot="1" x14ac:dyDescent="0.25">
      <c r="A11" s="619" t="s">
        <v>141</v>
      </c>
      <c r="B11" s="620" t="s">
        <v>141</v>
      </c>
      <c r="C11" s="621" t="s">
        <v>142</v>
      </c>
      <c r="D11" s="448" t="s">
        <v>143</v>
      </c>
      <c r="E11" s="449" t="s">
        <v>143</v>
      </c>
      <c r="F11" s="450" t="s">
        <v>143</v>
      </c>
      <c r="G11" s="451" t="s">
        <v>143</v>
      </c>
      <c r="H11" s="452" t="s">
        <v>143</v>
      </c>
      <c r="I11" s="452" t="s">
        <v>143</v>
      </c>
      <c r="J11" s="452" t="s">
        <v>143</v>
      </c>
      <c r="K11" s="452" t="s">
        <v>143</v>
      </c>
      <c r="L11" s="622" t="s">
        <v>143</v>
      </c>
      <c r="M11" s="623" t="s">
        <v>170</v>
      </c>
      <c r="N11" s="455" t="s">
        <v>143</v>
      </c>
      <c r="O11" s="447" t="s">
        <v>143</v>
      </c>
      <c r="P11" s="624" t="s">
        <v>147</v>
      </c>
      <c r="Q11" s="458" t="s">
        <v>36</v>
      </c>
      <c r="R11" s="459" t="s">
        <v>36</v>
      </c>
      <c r="S11" s="459" t="s">
        <v>147</v>
      </c>
      <c r="T11" s="624" t="s">
        <v>143</v>
      </c>
      <c r="U11" s="459" t="s">
        <v>143</v>
      </c>
      <c r="V11" s="459" t="s">
        <v>143</v>
      </c>
      <c r="W11" s="459" t="s">
        <v>143</v>
      </c>
      <c r="X11" s="459" t="s">
        <v>143</v>
      </c>
      <c r="Y11" s="459" t="s">
        <v>143</v>
      </c>
      <c r="Z11" s="459" t="s">
        <v>171</v>
      </c>
      <c r="AA11" s="459" t="s">
        <v>172</v>
      </c>
      <c r="AB11" s="624" t="s">
        <v>143</v>
      </c>
      <c r="AC11" s="458" t="s">
        <v>143</v>
      </c>
      <c r="AD11" s="625"/>
      <c r="AE11" s="461"/>
      <c r="AF11" s="462" t="s">
        <v>143</v>
      </c>
      <c r="AG11" s="444"/>
    </row>
    <row r="12" spans="1:34" s="431" customFormat="1" x14ac:dyDescent="0.3">
      <c r="A12" s="463" t="s">
        <v>148</v>
      </c>
      <c r="B12" s="464"/>
      <c r="C12" s="465">
        <v>0</v>
      </c>
      <c r="D12" s="466" t="s">
        <v>149</v>
      </c>
      <c r="E12" s="467" t="s">
        <v>149</v>
      </c>
      <c r="F12" s="468" t="s">
        <v>149</v>
      </c>
      <c r="G12" s="469" t="s">
        <v>149</v>
      </c>
      <c r="H12" s="467" t="s">
        <v>149</v>
      </c>
      <c r="I12" s="467" t="s">
        <v>149</v>
      </c>
      <c r="J12" s="467" t="s">
        <v>149</v>
      </c>
      <c r="K12" s="467" t="s">
        <v>149</v>
      </c>
      <c r="L12" s="470" t="s">
        <v>149</v>
      </c>
      <c r="M12" s="465"/>
      <c r="N12" s="626"/>
      <c r="O12" s="627"/>
      <c r="P12" s="474"/>
      <c r="Q12" s="475"/>
      <c r="R12" s="476"/>
      <c r="S12" s="477"/>
      <c r="T12" s="628"/>
      <c r="U12" s="629"/>
      <c r="V12" s="477"/>
      <c r="W12" s="629"/>
      <c r="X12" s="477"/>
      <c r="Y12" s="477"/>
      <c r="Z12" s="477"/>
      <c r="AA12" s="477"/>
      <c r="AB12" s="629"/>
      <c r="AC12" s="629"/>
      <c r="AD12" s="478"/>
      <c r="AE12" s="479" t="s">
        <v>161</v>
      </c>
      <c r="AF12" s="480">
        <v>933.5</v>
      </c>
      <c r="AG12" s="481"/>
    </row>
    <row r="13" spans="1:34" s="431" customFormat="1" x14ac:dyDescent="0.3">
      <c r="A13" s="482">
        <v>250</v>
      </c>
      <c r="B13" s="483">
        <v>0</v>
      </c>
      <c r="C13" s="471">
        <v>10</v>
      </c>
      <c r="D13" s="484" t="s">
        <v>149</v>
      </c>
      <c r="E13" s="485" t="s">
        <v>149</v>
      </c>
      <c r="F13" s="486" t="s">
        <v>149</v>
      </c>
      <c r="G13" s="487" t="s">
        <v>149</v>
      </c>
      <c r="H13" s="485" t="s">
        <v>149</v>
      </c>
      <c r="I13" s="485" t="s">
        <v>149</v>
      </c>
      <c r="J13" s="485" t="s">
        <v>149</v>
      </c>
      <c r="K13" s="485" t="s">
        <v>149</v>
      </c>
      <c r="L13" s="488" t="s">
        <v>149</v>
      </c>
      <c r="M13" s="471">
        <v>1000</v>
      </c>
      <c r="N13" s="489">
        <f>C12</f>
        <v>0</v>
      </c>
      <c r="O13" s="490">
        <f t="shared" ref="O13:O14" si="0">(C13+C14-10)/2</f>
        <v>10</v>
      </c>
      <c r="P13" s="491">
        <f>(A13-B13)/M13</f>
        <v>0.25</v>
      </c>
      <c r="Q13" s="492">
        <f>(P13*(O13-N13))/100</f>
        <v>2.5000000000000001E-2</v>
      </c>
      <c r="R13" s="493">
        <f>SUM(Q$13:Q13)</f>
        <v>2.5000000000000001E-2</v>
      </c>
      <c r="S13" s="494">
        <f>R13/O13*100</f>
        <v>0.25</v>
      </c>
      <c r="T13" s="630"/>
      <c r="U13" s="494"/>
      <c r="V13" s="494"/>
      <c r="W13" s="494"/>
      <c r="X13" s="494"/>
      <c r="Y13" s="494"/>
      <c r="Z13" s="494">
        <f>(U13+W13+Y13)*98.5</f>
        <v>0</v>
      </c>
      <c r="AA13" s="494">
        <f>(A13-(Z13/0.9))/M13</f>
        <v>0.25</v>
      </c>
      <c r="AB13" s="494"/>
      <c r="AC13" s="494"/>
      <c r="AD13" s="495"/>
      <c r="AE13" s="496" t="s">
        <v>150</v>
      </c>
      <c r="AF13" s="497"/>
      <c r="AG13" s="444"/>
    </row>
    <row r="14" spans="1:34" s="431" customFormat="1" x14ac:dyDescent="0.3">
      <c r="A14" s="482">
        <v>240</v>
      </c>
      <c r="B14" s="483">
        <v>0</v>
      </c>
      <c r="C14" s="471">
        <v>20</v>
      </c>
      <c r="D14" s="484" t="s">
        <v>149</v>
      </c>
      <c r="E14" s="485" t="s">
        <v>149</v>
      </c>
      <c r="F14" s="486" t="s">
        <v>149</v>
      </c>
      <c r="G14" s="487" t="s">
        <v>149</v>
      </c>
      <c r="H14" s="485" t="s">
        <v>149</v>
      </c>
      <c r="I14" s="485" t="s">
        <v>149</v>
      </c>
      <c r="J14" s="485" t="s">
        <v>149</v>
      </c>
      <c r="K14" s="485" t="s">
        <v>149</v>
      </c>
      <c r="L14" s="488" t="s">
        <v>149</v>
      </c>
      <c r="M14" s="471">
        <v>1000</v>
      </c>
      <c r="N14" s="489">
        <f>(C13+C14-10)/2</f>
        <v>10</v>
      </c>
      <c r="O14" s="490">
        <f t="shared" si="0"/>
        <v>20</v>
      </c>
      <c r="P14" s="491">
        <f t="shared" ref="P14:P22" si="1">(A14-B14)/M14</f>
        <v>0.24</v>
      </c>
      <c r="Q14" s="492">
        <f t="shared" ref="Q14:Q22" si="2">(P14*(O14-N14))/100</f>
        <v>2.4E-2</v>
      </c>
      <c r="R14" s="493">
        <f>SUM(Q$13:Q14)</f>
        <v>4.9000000000000002E-2</v>
      </c>
      <c r="S14" s="494">
        <f t="shared" ref="S14:S22" si="3">R14/O14*100</f>
        <v>0.245</v>
      </c>
      <c r="T14" s="630"/>
      <c r="U14" s="494"/>
      <c r="V14" s="494"/>
      <c r="W14" s="494"/>
      <c r="X14" s="494"/>
      <c r="Y14" s="494"/>
      <c r="Z14" s="494">
        <f t="shared" ref="Z14:Z21" si="4">(U14+W14+Y14)*98.5</f>
        <v>0</v>
      </c>
      <c r="AA14" s="494">
        <f t="shared" ref="AA14:AA21" si="5">(A14-(Z14/0.9))/M14</f>
        <v>0.24</v>
      </c>
      <c r="AB14" s="494"/>
      <c r="AC14" s="494"/>
      <c r="AD14" s="495"/>
      <c r="AE14" s="496" t="s">
        <v>150</v>
      </c>
      <c r="AF14" s="497"/>
      <c r="AG14" s="444"/>
    </row>
    <row r="15" spans="1:34" s="431" customFormat="1" x14ac:dyDescent="0.3">
      <c r="A15" s="482">
        <v>250</v>
      </c>
      <c r="B15" s="483">
        <v>0</v>
      </c>
      <c r="C15" s="471">
        <v>30</v>
      </c>
      <c r="D15" s="484" t="s">
        <v>149</v>
      </c>
      <c r="E15" s="485" t="s">
        <v>149</v>
      </c>
      <c r="F15" s="486" t="s">
        <v>149</v>
      </c>
      <c r="G15" s="487" t="s">
        <v>149</v>
      </c>
      <c r="H15" s="485" t="s">
        <v>149</v>
      </c>
      <c r="I15" s="485" t="s">
        <v>149</v>
      </c>
      <c r="J15" s="485" t="s">
        <v>149</v>
      </c>
      <c r="K15" s="485" t="s">
        <v>149</v>
      </c>
      <c r="L15" s="488" t="s">
        <v>149</v>
      </c>
      <c r="M15" s="471">
        <v>1000</v>
      </c>
      <c r="N15" s="489">
        <f t="shared" ref="N15:N22" si="6">(C14+C15-10)/2</f>
        <v>20</v>
      </c>
      <c r="O15" s="490">
        <f>(C15+C19-10)/2</f>
        <v>45</v>
      </c>
      <c r="P15" s="491">
        <f t="shared" si="1"/>
        <v>0.25</v>
      </c>
      <c r="Q15" s="492">
        <f t="shared" si="2"/>
        <v>6.25E-2</v>
      </c>
      <c r="R15" s="493">
        <f>SUM(Q$13:Q15)</f>
        <v>0.1115</v>
      </c>
      <c r="S15" s="494">
        <f t="shared" si="3"/>
        <v>0.24777777777777779</v>
      </c>
      <c r="T15" s="630"/>
      <c r="U15" s="494"/>
      <c r="V15" s="494"/>
      <c r="W15" s="494"/>
      <c r="X15" s="494"/>
      <c r="Y15" s="494"/>
      <c r="Z15" s="494">
        <f t="shared" si="4"/>
        <v>0</v>
      </c>
      <c r="AA15" s="494">
        <f t="shared" si="5"/>
        <v>0.25</v>
      </c>
      <c r="AB15" s="494"/>
      <c r="AC15" s="494"/>
      <c r="AD15" s="495"/>
      <c r="AE15" s="496" t="s">
        <v>150</v>
      </c>
      <c r="AF15" s="498"/>
      <c r="AG15" s="444"/>
    </row>
    <row r="16" spans="1:34" s="431" customFormat="1" x14ac:dyDescent="0.3">
      <c r="A16" s="482">
        <v>230</v>
      </c>
      <c r="B16" s="483">
        <v>0</v>
      </c>
      <c r="C16" s="471">
        <v>40</v>
      </c>
      <c r="D16" s="484" t="s">
        <v>149</v>
      </c>
      <c r="E16" s="485" t="s">
        <v>149</v>
      </c>
      <c r="F16" s="486" t="s">
        <v>149</v>
      </c>
      <c r="G16" s="487" t="s">
        <v>149</v>
      </c>
      <c r="H16" s="485" t="s">
        <v>149</v>
      </c>
      <c r="I16" s="485" t="s">
        <v>149</v>
      </c>
      <c r="J16" s="485" t="s">
        <v>149</v>
      </c>
      <c r="K16" s="485" t="s">
        <v>149</v>
      </c>
      <c r="L16" s="488" t="s">
        <v>149</v>
      </c>
      <c r="M16" s="471">
        <v>1000</v>
      </c>
      <c r="N16" s="489">
        <f t="shared" ref="N16:N21" si="7">(C15+C16-10)/2</f>
        <v>30</v>
      </c>
      <c r="O16" s="490">
        <f>(C16+C17-10)/2</f>
        <v>40</v>
      </c>
      <c r="P16" s="491">
        <f t="shared" ref="P16:P21" si="8">(A16-B16)/M16</f>
        <v>0.23</v>
      </c>
      <c r="Q16" s="492">
        <f t="shared" ref="Q16:Q21" si="9">(P16*(O16-N16))/100</f>
        <v>2.3000000000000003E-2</v>
      </c>
      <c r="R16" s="493">
        <f>SUM(Q$13:Q16)</f>
        <v>0.13450000000000001</v>
      </c>
      <c r="S16" s="494">
        <f t="shared" ref="S16:S21" si="10">R16/O16*100</f>
        <v>0.33624999999999999</v>
      </c>
      <c r="T16" s="630"/>
      <c r="U16" s="494"/>
      <c r="V16" s="494"/>
      <c r="W16" s="494"/>
      <c r="X16" s="494"/>
      <c r="Y16" s="494"/>
      <c r="Z16" s="494">
        <f t="shared" si="4"/>
        <v>0</v>
      </c>
      <c r="AA16" s="494">
        <f t="shared" si="5"/>
        <v>0.23</v>
      </c>
      <c r="AB16" s="494"/>
      <c r="AC16" s="494"/>
      <c r="AD16" s="495"/>
      <c r="AE16" s="496"/>
      <c r="AF16" s="498"/>
      <c r="AG16" s="444"/>
    </row>
    <row r="17" spans="1:35" s="431" customFormat="1" x14ac:dyDescent="0.3">
      <c r="A17" s="482">
        <v>245</v>
      </c>
      <c r="B17" s="483">
        <v>0</v>
      </c>
      <c r="C17" s="471">
        <v>50</v>
      </c>
      <c r="D17" s="484" t="s">
        <v>149</v>
      </c>
      <c r="E17" s="485" t="s">
        <v>149</v>
      </c>
      <c r="F17" s="486" t="s">
        <v>149</v>
      </c>
      <c r="G17" s="487" t="s">
        <v>149</v>
      </c>
      <c r="H17" s="485" t="s">
        <v>149</v>
      </c>
      <c r="I17" s="485" t="s">
        <v>149</v>
      </c>
      <c r="J17" s="485" t="s">
        <v>149</v>
      </c>
      <c r="K17" s="485" t="s">
        <v>149</v>
      </c>
      <c r="L17" s="488" t="s">
        <v>149</v>
      </c>
      <c r="M17" s="471">
        <v>1000</v>
      </c>
      <c r="N17" s="489">
        <f t="shared" si="7"/>
        <v>40</v>
      </c>
      <c r="O17" s="490">
        <f t="shared" ref="O17:O21" si="11">(C17+C18-10)/2</f>
        <v>50</v>
      </c>
      <c r="P17" s="491">
        <f t="shared" si="8"/>
        <v>0.245</v>
      </c>
      <c r="Q17" s="492">
        <f t="shared" si="9"/>
        <v>2.4500000000000001E-2</v>
      </c>
      <c r="R17" s="493">
        <f>SUM(Q$13:Q17)</f>
        <v>0.159</v>
      </c>
      <c r="S17" s="494">
        <f t="shared" si="10"/>
        <v>0.318</v>
      </c>
      <c r="T17" s="630"/>
      <c r="U17" s="494"/>
      <c r="V17" s="494"/>
      <c r="W17" s="494"/>
      <c r="X17" s="494"/>
      <c r="Y17" s="494"/>
      <c r="Z17" s="494">
        <f t="shared" si="4"/>
        <v>0</v>
      </c>
      <c r="AA17" s="494">
        <f t="shared" si="5"/>
        <v>0.245</v>
      </c>
      <c r="AB17" s="494"/>
      <c r="AC17" s="494"/>
      <c r="AD17" s="495"/>
      <c r="AE17" s="496"/>
      <c r="AF17" s="498"/>
      <c r="AG17" s="444"/>
    </row>
    <row r="18" spans="1:35" s="431" customFormat="1" x14ac:dyDescent="0.3">
      <c r="A18" s="482">
        <v>315</v>
      </c>
      <c r="B18" s="483">
        <v>0</v>
      </c>
      <c r="C18" s="471">
        <v>60</v>
      </c>
      <c r="D18" s="484" t="s">
        <v>149</v>
      </c>
      <c r="E18" s="485" t="s">
        <v>149</v>
      </c>
      <c r="F18" s="486" t="s">
        <v>149</v>
      </c>
      <c r="G18" s="487" t="s">
        <v>149</v>
      </c>
      <c r="H18" s="485" t="s">
        <v>149</v>
      </c>
      <c r="I18" s="485" t="s">
        <v>149</v>
      </c>
      <c r="J18" s="485" t="s">
        <v>149</v>
      </c>
      <c r="K18" s="485" t="s">
        <v>149</v>
      </c>
      <c r="L18" s="488" t="s">
        <v>149</v>
      </c>
      <c r="M18" s="471">
        <v>1000</v>
      </c>
      <c r="N18" s="489">
        <f t="shared" si="7"/>
        <v>50</v>
      </c>
      <c r="O18" s="490">
        <f t="shared" si="11"/>
        <v>60</v>
      </c>
      <c r="P18" s="491">
        <f t="shared" si="8"/>
        <v>0.315</v>
      </c>
      <c r="Q18" s="492">
        <f t="shared" si="9"/>
        <v>3.15E-2</v>
      </c>
      <c r="R18" s="493">
        <f>SUM(Q$13:Q18)</f>
        <v>0.1905</v>
      </c>
      <c r="S18" s="494">
        <f t="shared" si="10"/>
        <v>0.3175</v>
      </c>
      <c r="T18" s="630"/>
      <c r="U18" s="494"/>
      <c r="V18" s="494"/>
      <c r="W18" s="494"/>
      <c r="X18" s="494"/>
      <c r="Y18" s="494"/>
      <c r="Z18" s="494">
        <f t="shared" si="4"/>
        <v>0</v>
      </c>
      <c r="AA18" s="494">
        <f t="shared" si="5"/>
        <v>0.315</v>
      </c>
      <c r="AB18" s="494"/>
      <c r="AC18" s="494"/>
      <c r="AD18" s="495"/>
      <c r="AE18" s="496"/>
      <c r="AF18" s="498"/>
      <c r="AG18" s="444"/>
    </row>
    <row r="19" spans="1:35" s="431" customFormat="1" ht="12" customHeight="1" x14ac:dyDescent="0.3">
      <c r="A19" s="499">
        <v>300</v>
      </c>
      <c r="B19" s="483">
        <v>0</v>
      </c>
      <c r="C19" s="471">
        <v>70</v>
      </c>
      <c r="D19" s="484" t="s">
        <v>149</v>
      </c>
      <c r="E19" s="485" t="s">
        <v>149</v>
      </c>
      <c r="F19" s="486" t="s">
        <v>149</v>
      </c>
      <c r="G19" s="487" t="s">
        <v>149</v>
      </c>
      <c r="H19" s="485" t="s">
        <v>149</v>
      </c>
      <c r="I19" s="485" t="s">
        <v>149</v>
      </c>
      <c r="J19" s="485" t="s">
        <v>149</v>
      </c>
      <c r="K19" s="485" t="s">
        <v>149</v>
      </c>
      <c r="L19" s="488" t="s">
        <v>149</v>
      </c>
      <c r="M19" s="471">
        <v>1000</v>
      </c>
      <c r="N19" s="489">
        <f t="shared" si="7"/>
        <v>60</v>
      </c>
      <c r="O19" s="490">
        <f t="shared" si="11"/>
        <v>70</v>
      </c>
      <c r="P19" s="491">
        <f t="shared" si="8"/>
        <v>0.3</v>
      </c>
      <c r="Q19" s="492">
        <f t="shared" si="9"/>
        <v>0.03</v>
      </c>
      <c r="R19" s="493">
        <f>SUM(Q$13:Q19)</f>
        <v>0.2205</v>
      </c>
      <c r="S19" s="494">
        <f t="shared" si="10"/>
        <v>0.315</v>
      </c>
      <c r="T19" s="630"/>
      <c r="U19" s="494"/>
      <c r="V19" s="494"/>
      <c r="W19" s="494"/>
      <c r="X19" s="494"/>
      <c r="Y19" s="494"/>
      <c r="Z19" s="494">
        <f t="shared" si="4"/>
        <v>0</v>
      </c>
      <c r="AA19" s="494">
        <f t="shared" si="5"/>
        <v>0.3</v>
      </c>
      <c r="AB19" s="494"/>
      <c r="AC19" s="494"/>
      <c r="AD19" s="495" t="s">
        <v>259</v>
      </c>
      <c r="AE19" s="496" t="s">
        <v>150</v>
      </c>
      <c r="AF19" s="497"/>
      <c r="AG19" s="444"/>
    </row>
    <row r="20" spans="1:35" s="431" customFormat="1" x14ac:dyDescent="0.3">
      <c r="A20" s="499">
        <v>310</v>
      </c>
      <c r="B20" s="483">
        <v>0</v>
      </c>
      <c r="C20" s="471">
        <v>80</v>
      </c>
      <c r="D20" s="484" t="s">
        <v>149</v>
      </c>
      <c r="E20" s="485" t="s">
        <v>149</v>
      </c>
      <c r="F20" s="486" t="s">
        <v>149</v>
      </c>
      <c r="G20" s="487" t="s">
        <v>149</v>
      </c>
      <c r="H20" s="485" t="s">
        <v>149</v>
      </c>
      <c r="I20" s="485" t="s">
        <v>149</v>
      </c>
      <c r="J20" s="485" t="s">
        <v>149</v>
      </c>
      <c r="K20" s="485" t="s">
        <v>149</v>
      </c>
      <c r="L20" s="488" t="s">
        <v>149</v>
      </c>
      <c r="M20" s="471">
        <v>1000</v>
      </c>
      <c r="N20" s="489">
        <f t="shared" si="7"/>
        <v>70</v>
      </c>
      <c r="O20" s="490">
        <f t="shared" si="11"/>
        <v>80</v>
      </c>
      <c r="P20" s="491">
        <f t="shared" si="8"/>
        <v>0.31</v>
      </c>
      <c r="Q20" s="492">
        <f t="shared" si="9"/>
        <v>3.1E-2</v>
      </c>
      <c r="R20" s="493">
        <f>SUM(Q$13:Q20)</f>
        <v>0.2515</v>
      </c>
      <c r="S20" s="494">
        <f t="shared" si="10"/>
        <v>0.31437499999999996</v>
      </c>
      <c r="T20" s="630"/>
      <c r="U20" s="494"/>
      <c r="V20" s="494"/>
      <c r="W20" s="494"/>
      <c r="X20" s="494"/>
      <c r="Y20" s="494"/>
      <c r="Z20" s="494">
        <f t="shared" si="4"/>
        <v>0</v>
      </c>
      <c r="AA20" s="494">
        <f t="shared" si="5"/>
        <v>0.31</v>
      </c>
      <c r="AB20" s="494"/>
      <c r="AC20" s="494"/>
      <c r="AD20" s="495" t="s">
        <v>151</v>
      </c>
      <c r="AE20" s="496" t="s">
        <v>150</v>
      </c>
      <c r="AF20" s="497"/>
      <c r="AG20" s="429"/>
    </row>
    <row r="21" spans="1:35" s="431" customFormat="1" x14ac:dyDescent="0.3">
      <c r="A21" s="499">
        <v>320</v>
      </c>
      <c r="B21" s="483">
        <v>0</v>
      </c>
      <c r="C21" s="471">
        <v>90</v>
      </c>
      <c r="D21" s="484" t="s">
        <v>149</v>
      </c>
      <c r="E21" s="485" t="s">
        <v>149</v>
      </c>
      <c r="F21" s="486" t="s">
        <v>149</v>
      </c>
      <c r="G21" s="487" t="s">
        <v>149</v>
      </c>
      <c r="H21" s="485" t="s">
        <v>149</v>
      </c>
      <c r="I21" s="485" t="s">
        <v>149</v>
      </c>
      <c r="J21" s="485" t="s">
        <v>149</v>
      </c>
      <c r="K21" s="485" t="s">
        <v>149</v>
      </c>
      <c r="L21" s="488" t="s">
        <v>149</v>
      </c>
      <c r="M21" s="471">
        <v>1000</v>
      </c>
      <c r="N21" s="489">
        <f t="shared" si="7"/>
        <v>80</v>
      </c>
      <c r="O21" s="490">
        <f t="shared" si="11"/>
        <v>90</v>
      </c>
      <c r="P21" s="491">
        <f t="shared" si="8"/>
        <v>0.32</v>
      </c>
      <c r="Q21" s="492">
        <f t="shared" si="9"/>
        <v>3.2000000000000001E-2</v>
      </c>
      <c r="R21" s="493">
        <f>SUM(Q$13:Q21)</f>
        <v>0.28349999999999997</v>
      </c>
      <c r="S21" s="494">
        <f t="shared" si="10"/>
        <v>0.31499999999999995</v>
      </c>
      <c r="T21" s="630"/>
      <c r="U21" s="494"/>
      <c r="V21" s="494"/>
      <c r="W21" s="494"/>
      <c r="X21" s="494"/>
      <c r="Y21" s="494"/>
      <c r="Z21" s="494">
        <f t="shared" si="4"/>
        <v>0</v>
      </c>
      <c r="AA21" s="494">
        <f t="shared" si="5"/>
        <v>0.32</v>
      </c>
      <c r="AB21" s="494"/>
      <c r="AC21" s="494"/>
      <c r="AD21" s="500"/>
      <c r="AE21" s="496" t="s">
        <v>150</v>
      </c>
      <c r="AF21" s="497"/>
      <c r="AG21" s="429"/>
    </row>
    <row r="22" spans="1:35" s="431" customFormat="1" ht="10.199999999999999" customHeight="1" x14ac:dyDescent="0.3">
      <c r="A22" s="499">
        <v>320</v>
      </c>
      <c r="B22" s="483">
        <v>0</v>
      </c>
      <c r="C22" s="471">
        <v>100</v>
      </c>
      <c r="D22" s="484" t="s">
        <v>149</v>
      </c>
      <c r="E22" s="485" t="s">
        <v>149</v>
      </c>
      <c r="F22" s="486" t="s">
        <v>149</v>
      </c>
      <c r="G22" s="487" t="s">
        <v>149</v>
      </c>
      <c r="H22" s="485" t="s">
        <v>149</v>
      </c>
      <c r="I22" s="485" t="s">
        <v>149</v>
      </c>
      <c r="J22" s="485" t="s">
        <v>149</v>
      </c>
      <c r="K22" s="485" t="s">
        <v>149</v>
      </c>
      <c r="L22" s="488" t="s">
        <v>149</v>
      </c>
      <c r="M22" s="471">
        <v>1000</v>
      </c>
      <c r="N22" s="489">
        <f t="shared" si="6"/>
        <v>90</v>
      </c>
      <c r="O22" s="490">
        <f>(C22+C25-D25)/2</f>
        <v>102.5</v>
      </c>
      <c r="P22" s="491">
        <f t="shared" si="1"/>
        <v>0.32</v>
      </c>
      <c r="Q22" s="492">
        <f t="shared" si="2"/>
        <v>0.04</v>
      </c>
      <c r="R22" s="493">
        <f>SUM(Q$13:Q22)</f>
        <v>0.32349999999999995</v>
      </c>
      <c r="S22" s="494">
        <f t="shared" si="3"/>
        <v>0.31560975609756092</v>
      </c>
      <c r="T22" s="630"/>
      <c r="U22" s="494"/>
      <c r="V22" s="494"/>
      <c r="W22" s="494"/>
      <c r="X22" s="494"/>
      <c r="Y22" s="494"/>
      <c r="Z22" s="494">
        <f t="shared" ref="Z22" si="12">(U22+W22+Y22)*98.5</f>
        <v>0</v>
      </c>
      <c r="AA22" s="494">
        <f t="shared" ref="AA22" si="13">(A22-(Z22/0.9))/M22</f>
        <v>0.32</v>
      </c>
      <c r="AB22" s="494"/>
      <c r="AC22" s="494"/>
      <c r="AD22" s="500"/>
      <c r="AE22" s="496" t="s">
        <v>150</v>
      </c>
      <c r="AF22" s="497"/>
      <c r="AG22" s="501"/>
    </row>
    <row r="23" spans="1:35" s="504" customFormat="1" ht="10.8" thickBot="1" x14ac:dyDescent="0.35">
      <c r="A23" s="507"/>
      <c r="B23" s="508"/>
      <c r="C23" s="509"/>
      <c r="D23" s="510"/>
      <c r="E23" s="509"/>
      <c r="F23" s="511"/>
      <c r="G23" s="512"/>
      <c r="H23" s="509"/>
      <c r="I23" s="509"/>
      <c r="J23" s="509"/>
      <c r="K23" s="509"/>
      <c r="L23" s="513"/>
      <c r="M23" s="509"/>
      <c r="N23" s="514"/>
      <c r="O23" s="515"/>
      <c r="P23" s="516"/>
      <c r="Q23" s="517"/>
      <c r="R23" s="518"/>
      <c r="S23" s="519"/>
      <c r="T23" s="631"/>
      <c r="U23" s="519"/>
      <c r="V23" s="519"/>
      <c r="W23" s="519"/>
      <c r="X23" s="519"/>
      <c r="Y23" s="519"/>
      <c r="Z23" s="519"/>
      <c r="AA23" s="519"/>
      <c r="AB23" s="519"/>
      <c r="AC23" s="519"/>
      <c r="AD23" s="520"/>
      <c r="AE23" s="496" t="s">
        <v>150</v>
      </c>
      <c r="AF23" s="521"/>
      <c r="AG23" s="522"/>
    </row>
    <row r="24" spans="1:35" s="504" customFormat="1" x14ac:dyDescent="0.3">
      <c r="A24" s="523" t="s">
        <v>152</v>
      </c>
      <c r="B24" s="483"/>
      <c r="C24" s="471"/>
      <c r="D24" s="524"/>
      <c r="E24" s="471"/>
      <c r="F24" s="525"/>
      <c r="G24" s="526"/>
      <c r="H24" s="471"/>
      <c r="I24" s="471"/>
      <c r="J24" s="471"/>
      <c r="K24" s="471"/>
      <c r="L24" s="527"/>
      <c r="M24" s="471"/>
      <c r="N24" s="489"/>
      <c r="O24" s="490"/>
      <c r="P24" s="491"/>
      <c r="Q24" s="492"/>
      <c r="R24" s="493"/>
      <c r="S24" s="494"/>
      <c r="T24" s="494"/>
      <c r="U24" s="494"/>
      <c r="V24" s="494"/>
      <c r="W24" s="494"/>
      <c r="X24" s="494"/>
      <c r="Y24" s="494"/>
      <c r="Z24" s="494"/>
      <c r="AA24" s="494"/>
      <c r="AB24" s="494"/>
      <c r="AC24" s="494"/>
      <c r="AD24" s="505"/>
      <c r="AE24" s="496" t="s">
        <v>150</v>
      </c>
      <c r="AF24" s="521"/>
      <c r="AG24" s="522"/>
    </row>
    <row r="25" spans="1:35" s="504" customFormat="1" x14ac:dyDescent="0.3">
      <c r="A25" s="499">
        <v>810</v>
      </c>
      <c r="B25" s="483">
        <v>0</v>
      </c>
      <c r="C25" s="471">
        <v>197</v>
      </c>
      <c r="D25" s="528">
        <v>92</v>
      </c>
      <c r="E25" s="529"/>
      <c r="F25" s="530"/>
      <c r="G25" s="531">
        <f t="shared" ref="G25:G55" si="14">AVERAGE(D25:F25)</f>
        <v>92</v>
      </c>
      <c r="H25" s="529">
        <v>5.7</v>
      </c>
      <c r="I25" s="529"/>
      <c r="J25" s="529"/>
      <c r="K25" s="529"/>
      <c r="L25" s="532">
        <f t="shared" ref="L25:L55" si="15">AVERAGE(H25:K25)</f>
        <v>5.7</v>
      </c>
      <c r="M25" s="471">
        <f>G25*    PI()* (L25/2)^2</f>
        <v>2347.6179422480445</v>
      </c>
      <c r="N25" s="489">
        <f>(C22+C25-D25)/2</f>
        <v>102.5</v>
      </c>
      <c r="O25" s="490">
        <f>(C25+C26-D26)/2</f>
        <v>198.5</v>
      </c>
      <c r="P25" s="491">
        <f>(A25-B25)/M25</f>
        <v>0.34503058842034401</v>
      </c>
      <c r="Q25" s="492">
        <f>(P25*(O25-N25))/100</f>
        <v>0.33122936488353028</v>
      </c>
      <c r="R25" s="493">
        <f>SUM(Q$13:Q25)</f>
        <v>0.65472936488353017</v>
      </c>
      <c r="S25" s="494">
        <f t="shared" ref="S25:S55" si="16">R25/O25*100</f>
        <v>0.3298384709740706</v>
      </c>
      <c r="T25" s="494"/>
      <c r="U25" s="494"/>
      <c r="V25" s="494"/>
      <c r="W25" s="494"/>
      <c r="X25" s="494"/>
      <c r="Y25" s="494"/>
      <c r="Z25" s="494">
        <f>(U25+W25+Y25)*    PI()* (L25/2)^2</f>
        <v>0</v>
      </c>
      <c r="AA25" s="494">
        <f t="shared" ref="AA25:AA41" si="17">(A25-(Z25/0.9))/(M25-Z25)</f>
        <v>0.34503058842034401</v>
      </c>
      <c r="AB25" s="494"/>
      <c r="AC25" s="494"/>
      <c r="AD25" s="505"/>
      <c r="AE25" s="496" t="s">
        <v>150</v>
      </c>
      <c r="AF25" s="521"/>
      <c r="AG25" s="522"/>
    </row>
    <row r="26" spans="1:35" s="504" customFormat="1" x14ac:dyDescent="0.3">
      <c r="A26" s="499">
        <v>655</v>
      </c>
      <c r="B26" s="483">
        <v>0</v>
      </c>
      <c r="C26" s="471">
        <v>267</v>
      </c>
      <c r="D26" s="528">
        <v>67</v>
      </c>
      <c r="E26" s="529"/>
      <c r="F26" s="530"/>
      <c r="G26" s="531">
        <f t="shared" si="14"/>
        <v>67</v>
      </c>
      <c r="H26" s="529">
        <v>5.7</v>
      </c>
      <c r="I26" s="529"/>
      <c r="J26" s="529"/>
      <c r="K26" s="529"/>
      <c r="L26" s="532">
        <f t="shared" si="15"/>
        <v>5.7</v>
      </c>
      <c r="M26" s="471">
        <f t="shared" ref="M26:M55" si="18">G26*    PI()* (L26/2)^2</f>
        <v>1709.6782840284675</v>
      </c>
      <c r="N26" s="489">
        <f>(C25+C26-D26)/2</f>
        <v>198.5</v>
      </c>
      <c r="O26" s="490">
        <f t="shared" ref="O26:O79" si="19">(C26+C27-D27)/2</f>
        <v>266</v>
      </c>
      <c r="P26" s="491">
        <f>(A26-B26)/M26</f>
        <v>0.38311301378680535</v>
      </c>
      <c r="Q26" s="492">
        <f t="shared" ref="Q26:Q80" si="20">(P26*(O26-N26))/100</f>
        <v>0.25860128430609364</v>
      </c>
      <c r="R26" s="493">
        <f>SUM(Q$13:Q26)</f>
        <v>0.91333064918962381</v>
      </c>
      <c r="S26" s="494">
        <f t="shared" si="16"/>
        <v>0.3433573869133924</v>
      </c>
      <c r="T26" s="494"/>
      <c r="U26" s="494"/>
      <c r="V26" s="494"/>
      <c r="W26" s="494"/>
      <c r="X26" s="494"/>
      <c r="Y26" s="494"/>
      <c r="Z26" s="494">
        <f t="shared" ref="Z26:Z69" si="21">(U26+W26+Y26)*    PI()* (L26/2)^2</f>
        <v>0</v>
      </c>
      <c r="AA26" s="494">
        <f t="shared" si="17"/>
        <v>0.38311301378680535</v>
      </c>
      <c r="AB26" s="494"/>
      <c r="AC26" s="494"/>
      <c r="AD26" s="505"/>
      <c r="AE26" s="496" t="s">
        <v>150</v>
      </c>
      <c r="AF26" s="497"/>
      <c r="AG26" s="522"/>
    </row>
    <row r="27" spans="1:35" s="504" customFormat="1" x14ac:dyDescent="0.3">
      <c r="A27" s="499">
        <v>890</v>
      </c>
      <c r="B27" s="483">
        <v>0</v>
      </c>
      <c r="C27" s="471">
        <v>347</v>
      </c>
      <c r="D27" s="528">
        <v>82</v>
      </c>
      <c r="E27" s="529"/>
      <c r="F27" s="530"/>
      <c r="G27" s="531">
        <f t="shared" si="14"/>
        <v>82</v>
      </c>
      <c r="H27" s="529">
        <v>5.7</v>
      </c>
      <c r="I27" s="529"/>
      <c r="J27" s="529"/>
      <c r="K27" s="529"/>
      <c r="L27" s="532">
        <f t="shared" si="15"/>
        <v>5.7</v>
      </c>
      <c r="M27" s="471">
        <f>G27*    PI()* (L27/2)*(L27/2)</f>
        <v>2092.4420789602136</v>
      </c>
      <c r="N27" s="489">
        <f t="shared" ref="N27:N80" si="22">(C26+C27-D27)/2</f>
        <v>266</v>
      </c>
      <c r="O27" s="490">
        <f t="shared" si="19"/>
        <v>347</v>
      </c>
      <c r="P27" s="491">
        <f t="shared" ref="P27:P55" si="23">(A27-B27)/M27</f>
        <v>0.42534032791113774</v>
      </c>
      <c r="Q27" s="492">
        <f t="shared" si="20"/>
        <v>0.34452566560802156</v>
      </c>
      <c r="R27" s="493">
        <f>SUM(Q$13:Q27)</f>
        <v>1.2578563147976454</v>
      </c>
      <c r="S27" s="494">
        <f t="shared" si="16"/>
        <v>0.36249461521545973</v>
      </c>
      <c r="T27" s="494"/>
      <c r="U27" s="494"/>
      <c r="V27" s="494"/>
      <c r="W27" s="494"/>
      <c r="X27" s="494"/>
      <c r="Y27" s="494"/>
      <c r="Z27" s="494">
        <f t="shared" si="21"/>
        <v>0</v>
      </c>
      <c r="AA27" s="494">
        <f t="shared" si="17"/>
        <v>0.42534032791113774</v>
      </c>
      <c r="AB27" s="494"/>
      <c r="AC27" s="494"/>
      <c r="AD27" s="505"/>
      <c r="AE27" s="496" t="s">
        <v>150</v>
      </c>
      <c r="AF27" s="497"/>
      <c r="AG27" s="522"/>
    </row>
    <row r="28" spans="1:35" s="504" customFormat="1" x14ac:dyDescent="0.3">
      <c r="A28" s="499">
        <v>535</v>
      </c>
      <c r="B28" s="483">
        <v>0</v>
      </c>
      <c r="C28" s="471">
        <f>C29-D29</f>
        <v>396</v>
      </c>
      <c r="D28" s="528">
        <v>49</v>
      </c>
      <c r="E28" s="529"/>
      <c r="F28" s="530"/>
      <c r="G28" s="531">
        <f t="shared" si="14"/>
        <v>49</v>
      </c>
      <c r="H28" s="529">
        <v>5.7</v>
      </c>
      <c r="I28" s="529"/>
      <c r="J28" s="529"/>
      <c r="K28" s="529"/>
      <c r="L28" s="532">
        <f t="shared" si="15"/>
        <v>5.7</v>
      </c>
      <c r="M28" s="471">
        <f t="shared" si="18"/>
        <v>1250.3617301103716</v>
      </c>
      <c r="N28" s="489">
        <f t="shared" si="22"/>
        <v>347</v>
      </c>
      <c r="O28" s="490">
        <f t="shared" si="19"/>
        <v>396</v>
      </c>
      <c r="P28" s="491">
        <f t="shared" si="23"/>
        <v>0.42787617944190809</v>
      </c>
      <c r="Q28" s="492">
        <f t="shared" si="20"/>
        <v>0.20965932792653497</v>
      </c>
      <c r="R28" s="493">
        <f>SUM(Q$13:Q28)</f>
        <v>1.4675156427241802</v>
      </c>
      <c r="S28" s="494">
        <f t="shared" si="16"/>
        <v>0.37058475826368187</v>
      </c>
      <c r="T28" s="494"/>
      <c r="U28" s="494"/>
      <c r="V28" s="494"/>
      <c r="W28" s="494"/>
      <c r="X28" s="494"/>
      <c r="Y28" s="494"/>
      <c r="Z28" s="494">
        <f t="shared" si="21"/>
        <v>0</v>
      </c>
      <c r="AA28" s="494">
        <f t="shared" si="17"/>
        <v>0.42787617944190809</v>
      </c>
      <c r="AB28" s="494"/>
      <c r="AC28" s="494"/>
      <c r="AD28" s="505"/>
      <c r="AE28" s="496" t="s">
        <v>150</v>
      </c>
      <c r="AF28" s="497"/>
      <c r="AG28" s="522"/>
    </row>
    <row r="29" spans="1:35" x14ac:dyDescent="0.2">
      <c r="A29" s="499">
        <v>505</v>
      </c>
      <c r="B29" s="483">
        <v>0</v>
      </c>
      <c r="C29" s="471">
        <v>439</v>
      </c>
      <c r="D29" s="528">
        <v>43</v>
      </c>
      <c r="E29" s="529"/>
      <c r="F29" s="530"/>
      <c r="G29" s="531">
        <f t="shared" si="14"/>
        <v>43</v>
      </c>
      <c r="H29" s="529">
        <v>5.7</v>
      </c>
      <c r="I29" s="529"/>
      <c r="J29" s="529"/>
      <c r="K29" s="529"/>
      <c r="L29" s="532">
        <f t="shared" si="15"/>
        <v>5.7</v>
      </c>
      <c r="M29" s="471">
        <f t="shared" si="18"/>
        <v>1097.2562121376732</v>
      </c>
      <c r="N29" s="489">
        <f t="shared" si="22"/>
        <v>396</v>
      </c>
      <c r="O29" s="490">
        <f t="shared" si="19"/>
        <v>438.5</v>
      </c>
      <c r="P29" s="491">
        <f t="shared" si="23"/>
        <v>0.4602389072066948</v>
      </c>
      <c r="Q29" s="492">
        <f t="shared" si="20"/>
        <v>0.19560153556284529</v>
      </c>
      <c r="R29" s="493">
        <f>SUM(Q$13:Q29)</f>
        <v>1.6631171782870255</v>
      </c>
      <c r="S29" s="494">
        <f t="shared" si="16"/>
        <v>0.37927415696397393</v>
      </c>
      <c r="T29" s="494"/>
      <c r="U29" s="494"/>
      <c r="V29" s="494"/>
      <c r="W29" s="494"/>
      <c r="X29" s="494"/>
      <c r="Y29" s="494"/>
      <c r="Z29" s="494">
        <f t="shared" si="21"/>
        <v>0</v>
      </c>
      <c r="AA29" s="494">
        <f t="shared" si="17"/>
        <v>0.4602389072066948</v>
      </c>
      <c r="AB29" s="494"/>
      <c r="AC29" s="494"/>
      <c r="AD29" s="505"/>
      <c r="AE29" s="496" t="s">
        <v>150</v>
      </c>
      <c r="AF29" s="497"/>
      <c r="AG29" s="522"/>
      <c r="AH29" s="504"/>
      <c r="AI29" s="504"/>
    </row>
    <row r="30" spans="1:35" x14ac:dyDescent="0.2">
      <c r="A30" s="499">
        <v>470</v>
      </c>
      <c r="B30" s="483">
        <v>0</v>
      </c>
      <c r="C30" s="471">
        <f>C31-D31</f>
        <v>477</v>
      </c>
      <c r="D30" s="528">
        <v>39</v>
      </c>
      <c r="E30" s="529"/>
      <c r="F30" s="530"/>
      <c r="G30" s="531">
        <f t="shared" si="14"/>
        <v>39</v>
      </c>
      <c r="H30" s="529">
        <v>5.7</v>
      </c>
      <c r="I30" s="529"/>
      <c r="J30" s="529"/>
      <c r="K30" s="529"/>
      <c r="L30" s="532">
        <f t="shared" si="15"/>
        <v>5.7</v>
      </c>
      <c r="M30" s="471">
        <f t="shared" si="18"/>
        <v>995.18586682254067</v>
      </c>
      <c r="N30" s="489">
        <f t="shared" si="22"/>
        <v>438.5</v>
      </c>
      <c r="O30" s="490">
        <f t="shared" si="19"/>
        <v>477</v>
      </c>
      <c r="P30" s="491">
        <f t="shared" si="23"/>
        <v>0.47227358794858104</v>
      </c>
      <c r="Q30" s="492">
        <f t="shared" si="20"/>
        <v>0.18182533136020371</v>
      </c>
      <c r="R30" s="493">
        <f>SUM(Q$13:Q30)</f>
        <v>1.8449425096472292</v>
      </c>
      <c r="S30" s="494">
        <f t="shared" si="16"/>
        <v>0.38678040034533107</v>
      </c>
      <c r="T30" s="494"/>
      <c r="U30" s="494"/>
      <c r="V30" s="494"/>
      <c r="W30" s="494"/>
      <c r="X30" s="494"/>
      <c r="Y30" s="494"/>
      <c r="Z30" s="494">
        <f t="shared" si="21"/>
        <v>0</v>
      </c>
      <c r="AA30" s="494">
        <f t="shared" si="17"/>
        <v>0.47227358794858104</v>
      </c>
      <c r="AB30" s="494"/>
      <c r="AC30" s="494"/>
      <c r="AD30" s="505"/>
      <c r="AE30" s="496" t="s">
        <v>150</v>
      </c>
      <c r="AF30" s="497"/>
      <c r="AG30" s="522"/>
      <c r="AH30" s="504"/>
      <c r="AI30" s="504"/>
    </row>
    <row r="31" spans="1:35" x14ac:dyDescent="0.2">
      <c r="A31" s="499">
        <v>555</v>
      </c>
      <c r="B31" s="483">
        <v>0</v>
      </c>
      <c r="C31" s="471">
        <v>523</v>
      </c>
      <c r="D31" s="528">
        <v>46</v>
      </c>
      <c r="E31" s="529"/>
      <c r="F31" s="530"/>
      <c r="G31" s="531">
        <f t="shared" si="14"/>
        <v>46</v>
      </c>
      <c r="H31" s="529">
        <v>5.7</v>
      </c>
      <c r="I31" s="529"/>
      <c r="J31" s="529"/>
      <c r="K31" s="529"/>
      <c r="L31" s="532">
        <f t="shared" si="15"/>
        <v>5.7</v>
      </c>
      <c r="M31" s="471">
        <f t="shared" si="18"/>
        <v>1173.8089711240223</v>
      </c>
      <c r="N31" s="489">
        <f t="shared" si="22"/>
        <v>477</v>
      </c>
      <c r="O31" s="490">
        <f t="shared" si="19"/>
        <v>523.25</v>
      </c>
      <c r="P31" s="491">
        <f t="shared" si="23"/>
        <v>0.47281969524269363</v>
      </c>
      <c r="Q31" s="492">
        <f t="shared" si="20"/>
        <v>0.2186791090497458</v>
      </c>
      <c r="R31" s="493">
        <f>SUM(Q$13:Q31)</f>
        <v>2.0636216186969749</v>
      </c>
      <c r="S31" s="494">
        <f t="shared" si="16"/>
        <v>0.39438540252211657</v>
      </c>
      <c r="T31" s="494"/>
      <c r="U31" s="494"/>
      <c r="V31" s="494"/>
      <c r="W31" s="494"/>
      <c r="X31" s="494"/>
      <c r="Y31" s="494"/>
      <c r="Z31" s="494">
        <f t="shared" si="21"/>
        <v>0</v>
      </c>
      <c r="AA31" s="494">
        <f t="shared" si="17"/>
        <v>0.47281969524269363</v>
      </c>
      <c r="AB31" s="494"/>
      <c r="AC31" s="494"/>
      <c r="AD31" s="505"/>
      <c r="AE31" s="496" t="s">
        <v>150</v>
      </c>
      <c r="AF31" s="497"/>
      <c r="AG31" s="522"/>
      <c r="AH31" s="504"/>
      <c r="AI31" s="504"/>
    </row>
    <row r="32" spans="1:35" x14ac:dyDescent="0.2">
      <c r="A32" s="499">
        <v>440</v>
      </c>
      <c r="B32" s="483">
        <v>0</v>
      </c>
      <c r="C32" s="471">
        <f>C33-D33</f>
        <v>559</v>
      </c>
      <c r="D32" s="528">
        <v>35.5</v>
      </c>
      <c r="E32" s="529"/>
      <c r="F32" s="530"/>
      <c r="G32" s="531">
        <f t="shared" si="14"/>
        <v>35.5</v>
      </c>
      <c r="H32" s="529">
        <v>5.7</v>
      </c>
      <c r="I32" s="529"/>
      <c r="J32" s="529"/>
      <c r="K32" s="529"/>
      <c r="L32" s="532">
        <f t="shared" si="15"/>
        <v>5.7</v>
      </c>
      <c r="M32" s="471">
        <f t="shared" si="18"/>
        <v>905.87431467179999</v>
      </c>
      <c r="N32" s="489">
        <f t="shared" si="22"/>
        <v>523.25</v>
      </c>
      <c r="O32" s="490">
        <f t="shared" si="19"/>
        <v>559</v>
      </c>
      <c r="P32" s="491">
        <f t="shared" si="23"/>
        <v>0.4857185956965927</v>
      </c>
      <c r="Q32" s="492">
        <f t="shared" si="20"/>
        <v>0.17364439796153189</v>
      </c>
      <c r="R32" s="493">
        <f>SUM(Q$13:Q32)</f>
        <v>2.237266016658507</v>
      </c>
      <c r="S32" s="494">
        <f t="shared" si="16"/>
        <v>0.40022647882978657</v>
      </c>
      <c r="T32" s="494"/>
      <c r="U32" s="494"/>
      <c r="V32" s="494"/>
      <c r="W32" s="494"/>
      <c r="X32" s="494"/>
      <c r="Y32" s="494"/>
      <c r="Z32" s="494">
        <f t="shared" si="21"/>
        <v>0</v>
      </c>
      <c r="AA32" s="494">
        <f t="shared" si="17"/>
        <v>0.4857185956965927</v>
      </c>
      <c r="AB32" s="494"/>
      <c r="AC32" s="494"/>
      <c r="AD32" s="505"/>
      <c r="AE32" s="496" t="s">
        <v>150</v>
      </c>
      <c r="AF32" s="497"/>
      <c r="AG32" s="522"/>
      <c r="AH32" s="504"/>
      <c r="AI32" s="504"/>
    </row>
    <row r="33" spans="1:36" x14ac:dyDescent="0.2">
      <c r="A33" s="499">
        <v>495</v>
      </c>
      <c r="B33" s="483">
        <v>0</v>
      </c>
      <c r="C33" s="471">
        <v>599</v>
      </c>
      <c r="D33" s="528">
        <v>40</v>
      </c>
      <c r="E33" s="529"/>
      <c r="F33" s="530"/>
      <c r="G33" s="531">
        <f t="shared" si="14"/>
        <v>40</v>
      </c>
      <c r="H33" s="529">
        <v>5.7</v>
      </c>
      <c r="I33" s="529"/>
      <c r="J33" s="529"/>
      <c r="K33" s="529"/>
      <c r="L33" s="532">
        <f t="shared" si="15"/>
        <v>5.7</v>
      </c>
      <c r="M33" s="471">
        <f t="shared" si="18"/>
        <v>1020.7034531513239</v>
      </c>
      <c r="N33" s="489">
        <f t="shared" si="22"/>
        <v>559</v>
      </c>
      <c r="O33" s="490">
        <f t="shared" si="19"/>
        <v>597.5</v>
      </c>
      <c r="P33" s="491">
        <f t="shared" si="23"/>
        <v>0.48495966039081678</v>
      </c>
      <c r="Q33" s="492">
        <f t="shared" si="20"/>
        <v>0.18670946925046447</v>
      </c>
      <c r="R33" s="493">
        <f>SUM(Q$13:Q33)</f>
        <v>2.4239754859089713</v>
      </c>
      <c r="S33" s="494">
        <f t="shared" si="16"/>
        <v>0.40568627379229644</v>
      </c>
      <c r="T33" s="494"/>
      <c r="U33" s="494"/>
      <c r="V33" s="494"/>
      <c r="W33" s="494"/>
      <c r="X33" s="494"/>
      <c r="Y33" s="494"/>
      <c r="Z33" s="494">
        <f t="shared" si="21"/>
        <v>0</v>
      </c>
      <c r="AA33" s="494">
        <f t="shared" si="17"/>
        <v>0.48495966039081678</v>
      </c>
      <c r="AB33" s="494"/>
      <c r="AC33" s="494"/>
      <c r="AD33" s="505"/>
      <c r="AE33" s="496" t="s">
        <v>150</v>
      </c>
      <c r="AF33" s="497"/>
      <c r="AG33" s="522"/>
      <c r="AH33" s="504"/>
      <c r="AI33" s="504"/>
    </row>
    <row r="34" spans="1:36" x14ac:dyDescent="0.2">
      <c r="A34" s="499">
        <v>555</v>
      </c>
      <c r="B34" s="483">
        <v>0</v>
      </c>
      <c r="C34" s="471">
        <f>C35-D35</f>
        <v>640</v>
      </c>
      <c r="D34" s="528">
        <v>44</v>
      </c>
      <c r="E34" s="529"/>
      <c r="F34" s="530"/>
      <c r="G34" s="531">
        <f t="shared" si="14"/>
        <v>44</v>
      </c>
      <c r="H34" s="529">
        <v>5.7</v>
      </c>
      <c r="I34" s="529"/>
      <c r="J34" s="529"/>
      <c r="K34" s="529"/>
      <c r="L34" s="532">
        <f t="shared" si="15"/>
        <v>5.7</v>
      </c>
      <c r="M34" s="471">
        <f t="shared" si="18"/>
        <v>1122.7737984664561</v>
      </c>
      <c r="N34" s="489">
        <f t="shared" si="22"/>
        <v>597.5</v>
      </c>
      <c r="O34" s="490">
        <f t="shared" si="19"/>
        <v>640</v>
      </c>
      <c r="P34" s="491">
        <f t="shared" si="23"/>
        <v>0.49431149957190695</v>
      </c>
      <c r="Q34" s="492">
        <f t="shared" si="20"/>
        <v>0.21008238731806045</v>
      </c>
      <c r="R34" s="493">
        <f>SUM(Q$13:Q34)</f>
        <v>2.6340578732270319</v>
      </c>
      <c r="S34" s="494">
        <f t="shared" si="16"/>
        <v>0.41157154269172375</v>
      </c>
      <c r="T34" s="494"/>
      <c r="U34" s="494"/>
      <c r="V34" s="494"/>
      <c r="W34" s="494"/>
      <c r="X34" s="494"/>
      <c r="Y34" s="494"/>
      <c r="Z34" s="494">
        <f t="shared" si="21"/>
        <v>0</v>
      </c>
      <c r="AA34" s="494">
        <f t="shared" si="17"/>
        <v>0.49431149957190695</v>
      </c>
      <c r="AB34" s="494"/>
      <c r="AC34" s="494"/>
      <c r="AD34" s="505"/>
      <c r="AE34" s="496"/>
      <c r="AF34" s="497"/>
      <c r="AG34" s="534"/>
    </row>
    <row r="35" spans="1:36" x14ac:dyDescent="0.2">
      <c r="A35" s="499">
        <v>500</v>
      </c>
      <c r="B35" s="483">
        <v>0</v>
      </c>
      <c r="C35" s="471">
        <v>679</v>
      </c>
      <c r="D35" s="528">
        <v>39</v>
      </c>
      <c r="E35" s="529"/>
      <c r="F35" s="530"/>
      <c r="G35" s="531">
        <f t="shared" si="14"/>
        <v>39</v>
      </c>
      <c r="H35" s="529">
        <v>5.7</v>
      </c>
      <c r="I35" s="529"/>
      <c r="J35" s="529"/>
      <c r="K35" s="529"/>
      <c r="L35" s="532">
        <f t="shared" si="15"/>
        <v>5.7</v>
      </c>
      <c r="M35" s="471">
        <f t="shared" si="18"/>
        <v>995.18586682254067</v>
      </c>
      <c r="N35" s="489">
        <f t="shared" si="22"/>
        <v>640</v>
      </c>
      <c r="O35" s="490">
        <f t="shared" si="19"/>
        <v>680</v>
      </c>
      <c r="P35" s="491">
        <f t="shared" si="23"/>
        <v>0.50241871058359688</v>
      </c>
      <c r="Q35" s="492">
        <f t="shared" si="20"/>
        <v>0.20096748423343874</v>
      </c>
      <c r="R35" s="493">
        <f>SUM(Q$13:Q35)</f>
        <v>2.8350253574604705</v>
      </c>
      <c r="S35" s="494">
        <f t="shared" si="16"/>
        <v>0.41691549374418685</v>
      </c>
      <c r="T35" s="494"/>
      <c r="U35" s="494"/>
      <c r="V35" s="494"/>
      <c r="W35" s="494"/>
      <c r="X35" s="494"/>
      <c r="Y35" s="494"/>
      <c r="Z35" s="494">
        <f t="shared" si="21"/>
        <v>0</v>
      </c>
      <c r="AA35" s="494">
        <f t="shared" si="17"/>
        <v>0.50241871058359688</v>
      </c>
      <c r="AB35" s="494"/>
      <c r="AC35" s="494"/>
      <c r="AD35" s="505"/>
      <c r="AE35" s="496"/>
      <c r="AF35" s="497"/>
      <c r="AG35" s="535"/>
      <c r="AH35" s="536"/>
      <c r="AI35" s="537"/>
      <c r="AJ35" s="536"/>
    </row>
    <row r="36" spans="1:36" x14ac:dyDescent="0.2">
      <c r="A36" s="499">
        <v>550</v>
      </c>
      <c r="B36" s="483">
        <v>0</v>
      </c>
      <c r="C36" s="471">
        <f>C37-D37</f>
        <v>723</v>
      </c>
      <c r="D36" s="528">
        <v>42</v>
      </c>
      <c r="E36" s="529"/>
      <c r="F36" s="530"/>
      <c r="G36" s="531">
        <f t="shared" si="14"/>
        <v>42</v>
      </c>
      <c r="H36" s="529">
        <v>5.7</v>
      </c>
      <c r="I36" s="529"/>
      <c r="J36" s="529"/>
      <c r="K36" s="529"/>
      <c r="L36" s="532">
        <f t="shared" si="15"/>
        <v>5.7</v>
      </c>
      <c r="M36" s="471">
        <f t="shared" si="18"/>
        <v>1071.73862580889</v>
      </c>
      <c r="N36" s="489">
        <f t="shared" si="22"/>
        <v>680</v>
      </c>
      <c r="O36" s="490">
        <f t="shared" si="19"/>
        <v>723</v>
      </c>
      <c r="P36" s="491">
        <f t="shared" si="23"/>
        <v>0.51318482581038816</v>
      </c>
      <c r="Q36" s="492">
        <f t="shared" si="20"/>
        <v>0.22066947509846691</v>
      </c>
      <c r="R36" s="493">
        <f>SUM(Q$13:Q36)</f>
        <v>3.0556948325589373</v>
      </c>
      <c r="S36" s="494">
        <f t="shared" si="16"/>
        <v>0.42264105567896787</v>
      </c>
      <c r="T36" s="494"/>
      <c r="U36" s="494"/>
      <c r="V36" s="494"/>
      <c r="W36" s="494"/>
      <c r="X36" s="494"/>
      <c r="Y36" s="494"/>
      <c r="Z36" s="494">
        <f t="shared" si="21"/>
        <v>0</v>
      </c>
      <c r="AA36" s="494">
        <f t="shared" si="17"/>
        <v>0.51318482581038816</v>
      </c>
      <c r="AB36" s="494"/>
      <c r="AC36" s="494"/>
      <c r="AD36" s="505"/>
      <c r="AE36" s="496"/>
      <c r="AF36" s="497"/>
      <c r="AG36" s="535"/>
      <c r="AH36" s="536"/>
      <c r="AI36" s="538"/>
      <c r="AJ36" s="536"/>
    </row>
    <row r="37" spans="1:36" ht="12" customHeight="1" x14ac:dyDescent="0.2">
      <c r="A37" s="499">
        <v>495</v>
      </c>
      <c r="B37" s="483">
        <v>0</v>
      </c>
      <c r="C37" s="471">
        <v>760</v>
      </c>
      <c r="D37" s="528">
        <v>37</v>
      </c>
      <c r="E37" s="529"/>
      <c r="F37" s="530"/>
      <c r="G37" s="531">
        <f t="shared" si="14"/>
        <v>37</v>
      </c>
      <c r="H37" s="529">
        <v>5.7</v>
      </c>
      <c r="I37" s="529"/>
      <c r="J37" s="529"/>
      <c r="K37" s="529"/>
      <c r="L37" s="532">
        <f t="shared" si="15"/>
        <v>5.7</v>
      </c>
      <c r="M37" s="471">
        <f t="shared" si="18"/>
        <v>944.15069416497454</v>
      </c>
      <c r="N37" s="489">
        <f t="shared" si="22"/>
        <v>723</v>
      </c>
      <c r="O37" s="490">
        <f t="shared" si="19"/>
        <v>759.75</v>
      </c>
      <c r="P37" s="491">
        <f t="shared" si="23"/>
        <v>0.52428071393601816</v>
      </c>
      <c r="Q37" s="492">
        <f t="shared" si="20"/>
        <v>0.19267316237148666</v>
      </c>
      <c r="R37" s="493">
        <f>SUM(Q$13:Q37)</f>
        <v>3.2483679949304238</v>
      </c>
      <c r="S37" s="494">
        <f t="shared" si="16"/>
        <v>0.42755748534786758</v>
      </c>
      <c r="T37" s="494"/>
      <c r="U37" s="494"/>
      <c r="V37" s="494"/>
      <c r="W37" s="494"/>
      <c r="X37" s="494"/>
      <c r="Y37" s="494"/>
      <c r="Z37" s="494">
        <f t="shared" si="21"/>
        <v>0</v>
      </c>
      <c r="AA37" s="494">
        <f t="shared" si="17"/>
        <v>0.52428071393601816</v>
      </c>
      <c r="AB37" s="494"/>
      <c r="AC37" s="494"/>
      <c r="AD37" s="505"/>
      <c r="AE37" s="496"/>
      <c r="AF37" s="497"/>
      <c r="AG37" s="539"/>
      <c r="AH37" s="536"/>
      <c r="AI37" s="536"/>
      <c r="AJ37" s="536"/>
    </row>
    <row r="38" spans="1:36" x14ac:dyDescent="0.2">
      <c r="A38" s="499">
        <v>465</v>
      </c>
      <c r="B38" s="483">
        <v>0</v>
      </c>
      <c r="C38" s="471">
        <f>C39-D39</f>
        <v>794</v>
      </c>
      <c r="D38" s="528">
        <v>34.5</v>
      </c>
      <c r="E38" s="529"/>
      <c r="F38" s="530"/>
      <c r="G38" s="531">
        <f t="shared" si="14"/>
        <v>34.5</v>
      </c>
      <c r="H38" s="529">
        <v>5.7</v>
      </c>
      <c r="I38" s="529"/>
      <c r="J38" s="529"/>
      <c r="K38" s="529"/>
      <c r="L38" s="532">
        <f t="shared" si="15"/>
        <v>5.7</v>
      </c>
      <c r="M38" s="471">
        <f t="shared" si="18"/>
        <v>880.35672834301681</v>
      </c>
      <c r="N38" s="489">
        <f t="shared" si="22"/>
        <v>759.75</v>
      </c>
      <c r="O38" s="490">
        <f t="shared" si="19"/>
        <v>794</v>
      </c>
      <c r="P38" s="491">
        <f t="shared" si="23"/>
        <v>0.52819497486571176</v>
      </c>
      <c r="Q38" s="492">
        <f t="shared" si="20"/>
        <v>0.18090677889150628</v>
      </c>
      <c r="R38" s="493">
        <f>SUM(Q$13:Q38)</f>
        <v>3.42927477382193</v>
      </c>
      <c r="S38" s="494">
        <f t="shared" si="16"/>
        <v>0.43189858612366877</v>
      </c>
      <c r="T38" s="494"/>
      <c r="U38" s="494"/>
      <c r="V38" s="494"/>
      <c r="W38" s="494"/>
      <c r="X38" s="494"/>
      <c r="Y38" s="494"/>
      <c r="Z38" s="494">
        <f t="shared" si="21"/>
        <v>0</v>
      </c>
      <c r="AA38" s="494">
        <f t="shared" si="17"/>
        <v>0.52819497486571176</v>
      </c>
      <c r="AB38" s="494"/>
      <c r="AC38" s="494"/>
      <c r="AD38" s="505"/>
      <c r="AE38" s="496"/>
      <c r="AF38" s="497"/>
      <c r="AG38" s="540"/>
      <c r="AH38" s="541"/>
    </row>
    <row r="39" spans="1:36" x14ac:dyDescent="0.2">
      <c r="A39" s="499">
        <v>505</v>
      </c>
      <c r="B39" s="483">
        <v>0</v>
      </c>
      <c r="C39" s="471">
        <v>839</v>
      </c>
      <c r="D39" s="528">
        <v>45</v>
      </c>
      <c r="E39" s="529"/>
      <c r="F39" s="530"/>
      <c r="G39" s="531">
        <f t="shared" si="14"/>
        <v>45</v>
      </c>
      <c r="H39" s="529">
        <v>5.7</v>
      </c>
      <c r="I39" s="529"/>
      <c r="J39" s="529"/>
      <c r="K39" s="529"/>
      <c r="L39" s="532">
        <f t="shared" si="15"/>
        <v>5.7</v>
      </c>
      <c r="M39" s="471">
        <f t="shared" si="18"/>
        <v>1148.2913847952393</v>
      </c>
      <c r="N39" s="489">
        <f t="shared" si="22"/>
        <v>794</v>
      </c>
      <c r="O39" s="490">
        <f t="shared" si="19"/>
        <v>838.75</v>
      </c>
      <c r="P39" s="491">
        <f t="shared" si="23"/>
        <v>0.43978384466417508</v>
      </c>
      <c r="Q39" s="492">
        <f t="shared" si="20"/>
        <v>0.19680327048721835</v>
      </c>
      <c r="R39" s="493">
        <f>SUM(Q$13:Q39)</f>
        <v>3.6260780443091485</v>
      </c>
      <c r="S39" s="494">
        <f t="shared" si="16"/>
        <v>0.43231928993253632</v>
      </c>
      <c r="T39" s="494"/>
      <c r="U39" s="494"/>
      <c r="V39" s="494"/>
      <c r="W39" s="494"/>
      <c r="X39" s="494"/>
      <c r="Y39" s="494"/>
      <c r="Z39" s="494">
        <f t="shared" si="21"/>
        <v>0</v>
      </c>
      <c r="AA39" s="494">
        <f t="shared" si="17"/>
        <v>0.43978384466417508</v>
      </c>
      <c r="AB39" s="494"/>
      <c r="AC39" s="494"/>
      <c r="AD39" s="505"/>
      <c r="AE39" s="496"/>
      <c r="AF39" s="497"/>
      <c r="AG39" s="541"/>
      <c r="AH39" s="541"/>
    </row>
    <row r="40" spans="1:36" x14ac:dyDescent="0.2">
      <c r="A40" s="499">
        <v>505</v>
      </c>
      <c r="B40" s="483">
        <v>0</v>
      </c>
      <c r="C40" s="471">
        <f>C41-D41</f>
        <v>874.5</v>
      </c>
      <c r="D40" s="528">
        <v>36</v>
      </c>
      <c r="E40" s="529"/>
      <c r="F40" s="530"/>
      <c r="G40" s="531">
        <f t="shared" si="14"/>
        <v>36</v>
      </c>
      <c r="H40" s="529">
        <v>5.7</v>
      </c>
      <c r="I40" s="529"/>
      <c r="J40" s="529"/>
      <c r="K40" s="529"/>
      <c r="L40" s="532">
        <f t="shared" si="15"/>
        <v>5.7</v>
      </c>
      <c r="M40" s="471">
        <f t="shared" si="18"/>
        <v>918.63310783619147</v>
      </c>
      <c r="N40" s="489">
        <f t="shared" si="22"/>
        <v>838.75</v>
      </c>
      <c r="O40" s="490">
        <f t="shared" si="19"/>
        <v>874.5</v>
      </c>
      <c r="P40" s="491">
        <f t="shared" si="23"/>
        <v>0.5497298058302188</v>
      </c>
      <c r="Q40" s="492">
        <f t="shared" si="20"/>
        <v>0.19652840558430323</v>
      </c>
      <c r="R40" s="493">
        <f>SUM(Q$13:Q40)</f>
        <v>3.8226064498934518</v>
      </c>
      <c r="S40" s="494">
        <f t="shared" si="16"/>
        <v>0.43711909089690698</v>
      </c>
      <c r="T40" s="494"/>
      <c r="U40" s="494"/>
      <c r="V40" s="494"/>
      <c r="W40" s="494"/>
      <c r="X40" s="494"/>
      <c r="Y40" s="494"/>
      <c r="Z40" s="494">
        <f t="shared" si="21"/>
        <v>0</v>
      </c>
      <c r="AA40" s="494">
        <f t="shared" si="17"/>
        <v>0.5497298058302188</v>
      </c>
      <c r="AB40" s="494"/>
      <c r="AC40" s="494"/>
      <c r="AD40" s="505"/>
      <c r="AE40" s="496"/>
      <c r="AF40" s="497"/>
    </row>
    <row r="41" spans="1:36" x14ac:dyDescent="0.2">
      <c r="A41" s="499">
        <v>580</v>
      </c>
      <c r="B41" s="483">
        <v>0</v>
      </c>
      <c r="C41" s="471">
        <v>918</v>
      </c>
      <c r="D41" s="528">
        <v>43.5</v>
      </c>
      <c r="E41" s="529"/>
      <c r="F41" s="530"/>
      <c r="G41" s="531">
        <f t="shared" si="14"/>
        <v>43.5</v>
      </c>
      <c r="H41" s="529">
        <v>5.7</v>
      </c>
      <c r="I41" s="529"/>
      <c r="J41" s="529"/>
      <c r="K41" s="529"/>
      <c r="L41" s="532">
        <f t="shared" si="15"/>
        <v>5.7</v>
      </c>
      <c r="M41" s="471">
        <f t="shared" si="18"/>
        <v>1110.0150053020645</v>
      </c>
      <c r="N41" s="489">
        <f t="shared" si="22"/>
        <v>874.5</v>
      </c>
      <c r="O41" s="490">
        <f t="shared" si="19"/>
        <v>912.25</v>
      </c>
      <c r="P41" s="491">
        <f t="shared" si="23"/>
        <v>0.52251545900694074</v>
      </c>
      <c r="Q41" s="492">
        <f t="shared" si="20"/>
        <v>0.19724958577512011</v>
      </c>
      <c r="R41" s="493">
        <f>SUM(Q$13:Q41)</f>
        <v>4.019856035668572</v>
      </c>
      <c r="S41" s="494">
        <f t="shared" si="16"/>
        <v>0.44065289511302519</v>
      </c>
      <c r="T41" s="617"/>
      <c r="U41" s="635"/>
      <c r="V41" s="426"/>
      <c r="W41" s="617"/>
      <c r="X41" s="635"/>
      <c r="Y41" s="635"/>
      <c r="Z41" s="494">
        <f t="shared" si="21"/>
        <v>0</v>
      </c>
      <c r="AA41" s="494">
        <f t="shared" si="17"/>
        <v>0.52251545900694074</v>
      </c>
      <c r="AB41" s="494"/>
      <c r="AC41" s="494"/>
      <c r="AD41" s="505"/>
      <c r="AE41" s="496"/>
      <c r="AF41" s="497"/>
    </row>
    <row r="42" spans="1:36" x14ac:dyDescent="0.2">
      <c r="A42" s="499">
        <v>365</v>
      </c>
      <c r="B42" s="483">
        <v>0</v>
      </c>
      <c r="C42" s="471">
        <f>C43-D43</f>
        <v>935.5</v>
      </c>
      <c r="D42" s="528">
        <v>29</v>
      </c>
      <c r="E42" s="529"/>
      <c r="F42" s="530"/>
      <c r="G42" s="531">
        <f t="shared" si="14"/>
        <v>29</v>
      </c>
      <c r="H42" s="529">
        <v>5.7</v>
      </c>
      <c r="I42" s="529"/>
      <c r="J42" s="529"/>
      <c r="K42" s="529"/>
      <c r="L42" s="532">
        <f t="shared" si="15"/>
        <v>5.7</v>
      </c>
      <c r="M42" s="471">
        <f t="shared" si="18"/>
        <v>740.01000353470977</v>
      </c>
      <c r="N42" s="489">
        <f t="shared" si="22"/>
        <v>912.25</v>
      </c>
      <c r="O42" s="490">
        <f t="shared" si="19"/>
        <v>935.5</v>
      </c>
      <c r="P42" s="491">
        <f t="shared" si="23"/>
        <v>0.49323657552810346</v>
      </c>
      <c r="Q42" s="492">
        <f t="shared" si="20"/>
        <v>0.11467750381028406</v>
      </c>
      <c r="R42" s="493">
        <f>SUM(Q$13:Q42)</f>
        <v>4.1345335394788556</v>
      </c>
      <c r="S42" s="494">
        <f t="shared" si="16"/>
        <v>0.44195975836225071</v>
      </c>
      <c r="T42" s="494"/>
      <c r="U42" s="494"/>
      <c r="V42" s="494"/>
      <c r="W42" s="494"/>
      <c r="X42" s="494"/>
      <c r="Y42" s="494"/>
      <c r="Z42" s="494">
        <f t="shared" si="21"/>
        <v>0</v>
      </c>
      <c r="AA42" s="494">
        <f>(A42-(Z42/0.9))/(M42-Z42)</f>
        <v>0.49323657552810346</v>
      </c>
      <c r="AB42" s="494"/>
      <c r="AC42" s="494"/>
      <c r="AD42" s="505" t="s">
        <v>260</v>
      </c>
      <c r="AE42" s="496"/>
      <c r="AF42" s="497"/>
    </row>
    <row r="43" spans="1:36" x14ac:dyDescent="0.2">
      <c r="A43" s="499">
        <v>655</v>
      </c>
      <c r="B43" s="483">
        <v>0</v>
      </c>
      <c r="C43" s="471">
        <v>984</v>
      </c>
      <c r="D43" s="528">
        <v>48.5</v>
      </c>
      <c r="E43" s="529"/>
      <c r="F43" s="530"/>
      <c r="G43" s="531">
        <f t="shared" si="14"/>
        <v>48.5</v>
      </c>
      <c r="H43" s="529">
        <v>5.7</v>
      </c>
      <c r="I43" s="529"/>
      <c r="J43" s="529"/>
      <c r="K43" s="529"/>
      <c r="L43" s="532">
        <f t="shared" si="15"/>
        <v>5.7</v>
      </c>
      <c r="M43" s="471">
        <f t="shared" si="18"/>
        <v>1237.6029369459802</v>
      </c>
      <c r="N43" s="489">
        <f t="shared" si="22"/>
        <v>935.5</v>
      </c>
      <c r="O43" s="490">
        <f t="shared" si="19"/>
        <v>988</v>
      </c>
      <c r="P43" s="491">
        <f t="shared" si="23"/>
        <v>0.52924890564362803</v>
      </c>
      <c r="Q43" s="492">
        <f t="shared" si="20"/>
        <v>0.27785567546290474</v>
      </c>
      <c r="R43" s="493">
        <f>SUM(Q$13:Q43)</f>
        <v>4.4123892149417605</v>
      </c>
      <c r="S43" s="494">
        <f t="shared" si="16"/>
        <v>0.44659809867831585</v>
      </c>
      <c r="T43" s="494"/>
      <c r="U43" s="494"/>
      <c r="V43" s="494"/>
      <c r="W43" s="494"/>
      <c r="X43" s="494"/>
      <c r="Y43" s="494"/>
      <c r="Z43" s="494">
        <f t="shared" si="21"/>
        <v>0</v>
      </c>
      <c r="AA43" s="494">
        <f t="shared" ref="AA43:AA69" si="24">(A43-(Z43/0.9))/(M43-Z43)</f>
        <v>0.52924890564362803</v>
      </c>
      <c r="AB43" s="494"/>
      <c r="AC43" s="494"/>
      <c r="AD43" s="505"/>
      <c r="AE43" s="496"/>
      <c r="AF43" s="497"/>
    </row>
    <row r="44" spans="1:36" x14ac:dyDescent="0.2">
      <c r="A44" s="499">
        <v>690</v>
      </c>
      <c r="B44" s="483">
        <v>0</v>
      </c>
      <c r="C44" s="471">
        <f>C45-D45</f>
        <v>1040</v>
      </c>
      <c r="D44" s="528">
        <v>48</v>
      </c>
      <c r="E44" s="529"/>
      <c r="F44" s="530"/>
      <c r="G44" s="531">
        <f t="shared" si="14"/>
        <v>48</v>
      </c>
      <c r="H44" s="529">
        <v>5.7</v>
      </c>
      <c r="I44" s="529"/>
      <c r="J44" s="529"/>
      <c r="K44" s="529"/>
      <c r="L44" s="532">
        <f t="shared" si="15"/>
        <v>5.7</v>
      </c>
      <c r="M44" s="471">
        <f t="shared" si="18"/>
        <v>1224.8441437815886</v>
      </c>
      <c r="N44" s="489">
        <f t="shared" si="22"/>
        <v>988</v>
      </c>
      <c r="O44" s="490">
        <f t="shared" si="19"/>
        <v>1040</v>
      </c>
      <c r="P44" s="491">
        <f t="shared" si="23"/>
        <v>0.56333697924185788</v>
      </c>
      <c r="Q44" s="492">
        <f t="shared" si="20"/>
        <v>0.29293522920576609</v>
      </c>
      <c r="R44" s="493">
        <f>SUM(Q$13:Q44)</f>
        <v>4.7053244441475268</v>
      </c>
      <c r="S44" s="494">
        <f t="shared" si="16"/>
        <v>0.45243504270649293</v>
      </c>
      <c r="T44" s="494"/>
      <c r="U44" s="494"/>
      <c r="V44" s="494"/>
      <c r="W44" s="494"/>
      <c r="X44" s="494"/>
      <c r="Y44" s="494"/>
      <c r="Z44" s="494">
        <f t="shared" si="21"/>
        <v>0</v>
      </c>
      <c r="AA44" s="494">
        <f t="shared" si="24"/>
        <v>0.56333697924185788</v>
      </c>
      <c r="AB44" s="494"/>
      <c r="AC44" s="494"/>
      <c r="AD44" s="505"/>
      <c r="AE44" s="496"/>
      <c r="AF44" s="497"/>
    </row>
    <row r="45" spans="1:36" x14ac:dyDescent="0.2">
      <c r="A45" s="499">
        <v>350</v>
      </c>
      <c r="B45" s="483">
        <v>0</v>
      </c>
      <c r="C45" s="471">
        <v>1065</v>
      </c>
      <c r="D45" s="528">
        <v>25</v>
      </c>
      <c r="E45" s="529"/>
      <c r="F45" s="530"/>
      <c r="G45" s="531">
        <f t="shared" si="14"/>
        <v>25</v>
      </c>
      <c r="H45" s="529">
        <v>5.7</v>
      </c>
      <c r="I45" s="529"/>
      <c r="J45" s="529"/>
      <c r="K45" s="529"/>
      <c r="L45" s="532">
        <f t="shared" si="15"/>
        <v>5.7</v>
      </c>
      <c r="M45" s="471">
        <f t="shared" si="18"/>
        <v>637.93965821957738</v>
      </c>
      <c r="N45" s="489">
        <f t="shared" si="22"/>
        <v>1040</v>
      </c>
      <c r="O45" s="490">
        <f t="shared" si="19"/>
        <v>1067.75</v>
      </c>
      <c r="P45" s="491">
        <f t="shared" si="23"/>
        <v>0.54864123195728776</v>
      </c>
      <c r="Q45" s="492">
        <f t="shared" si="20"/>
        <v>0.15224794186814736</v>
      </c>
      <c r="R45" s="493">
        <f>SUM(Q$13:Q45)</f>
        <v>4.8575723860156739</v>
      </c>
      <c r="S45" s="494">
        <f t="shared" si="16"/>
        <v>0.45493536745639651</v>
      </c>
      <c r="T45" s="494">
        <v>26</v>
      </c>
      <c r="U45" s="494">
        <v>1.5</v>
      </c>
      <c r="V45" s="494">
        <v>14</v>
      </c>
      <c r="W45" s="494">
        <v>1.5</v>
      </c>
      <c r="X45" s="494"/>
      <c r="Y45" s="494"/>
      <c r="Z45" s="494">
        <f t="shared" si="21"/>
        <v>76.552758986349289</v>
      </c>
      <c r="AA45" s="494">
        <f t="shared" si="24"/>
        <v>0.4719407938908573</v>
      </c>
      <c r="AB45" s="494"/>
      <c r="AC45" s="494"/>
      <c r="AD45" s="505"/>
      <c r="AE45" s="496"/>
      <c r="AF45" s="497"/>
    </row>
    <row r="46" spans="1:36" x14ac:dyDescent="0.2">
      <c r="A46" s="499">
        <v>525</v>
      </c>
      <c r="B46" s="483">
        <v>0</v>
      </c>
      <c r="C46" s="471">
        <f>C47-D47</f>
        <v>1106</v>
      </c>
      <c r="D46" s="528">
        <v>35.5</v>
      </c>
      <c r="E46" s="529"/>
      <c r="F46" s="530"/>
      <c r="G46" s="531">
        <f t="shared" si="14"/>
        <v>35.5</v>
      </c>
      <c r="H46" s="529">
        <v>5.7</v>
      </c>
      <c r="I46" s="529"/>
      <c r="J46" s="529"/>
      <c r="K46" s="529"/>
      <c r="L46" s="532">
        <f t="shared" si="15"/>
        <v>5.7</v>
      </c>
      <c r="M46" s="471">
        <f t="shared" si="18"/>
        <v>905.87431467179999</v>
      </c>
      <c r="N46" s="489">
        <f t="shared" si="22"/>
        <v>1067.75</v>
      </c>
      <c r="O46" s="490">
        <f t="shared" si="19"/>
        <v>1106</v>
      </c>
      <c r="P46" s="491">
        <f t="shared" si="23"/>
        <v>0.57955059713797996</v>
      </c>
      <c r="Q46" s="492">
        <f t="shared" si="20"/>
        <v>0.22167810340527733</v>
      </c>
      <c r="R46" s="493">
        <f>SUM(Q$13:Q46)</f>
        <v>5.0792504894209509</v>
      </c>
      <c r="S46" s="494">
        <f t="shared" si="16"/>
        <v>0.45924507137621617</v>
      </c>
      <c r="T46" s="494"/>
      <c r="U46" s="494"/>
      <c r="V46" s="494"/>
      <c r="W46" s="494"/>
      <c r="X46" s="494"/>
      <c r="Y46" s="494"/>
      <c r="Z46" s="494">
        <f t="shared" si="21"/>
        <v>0</v>
      </c>
      <c r="AA46" s="494">
        <f t="shared" si="24"/>
        <v>0.57955059713797996</v>
      </c>
      <c r="AB46" s="494"/>
      <c r="AC46" s="494"/>
      <c r="AD46" s="505"/>
      <c r="AE46" s="496"/>
      <c r="AF46" s="497"/>
    </row>
    <row r="47" spans="1:36" x14ac:dyDescent="0.2">
      <c r="A47" s="499">
        <v>530</v>
      </c>
      <c r="B47" s="483">
        <v>0</v>
      </c>
      <c r="C47" s="471">
        <v>1143</v>
      </c>
      <c r="D47" s="528">
        <v>37</v>
      </c>
      <c r="E47" s="529"/>
      <c r="F47" s="530"/>
      <c r="G47" s="531">
        <f t="shared" si="14"/>
        <v>37</v>
      </c>
      <c r="H47" s="529">
        <v>5.7</v>
      </c>
      <c r="I47" s="529"/>
      <c r="J47" s="529"/>
      <c r="K47" s="529"/>
      <c r="L47" s="532">
        <f t="shared" si="15"/>
        <v>5.7</v>
      </c>
      <c r="M47" s="471">
        <f t="shared" si="18"/>
        <v>944.15069416497454</v>
      </c>
      <c r="N47" s="489">
        <f t="shared" si="22"/>
        <v>1106</v>
      </c>
      <c r="O47" s="490">
        <f t="shared" si="19"/>
        <v>1143</v>
      </c>
      <c r="P47" s="491">
        <f t="shared" si="23"/>
        <v>0.56135106744664576</v>
      </c>
      <c r="Q47" s="492">
        <f t="shared" si="20"/>
        <v>0.20769989495525892</v>
      </c>
      <c r="R47" s="493">
        <f>SUM(Q$13:Q47)</f>
        <v>5.28695038437621</v>
      </c>
      <c r="S47" s="494">
        <f t="shared" si="16"/>
        <v>0.46255033984043831</v>
      </c>
      <c r="T47" s="494">
        <v>46</v>
      </c>
      <c r="U47" s="494">
        <v>2</v>
      </c>
      <c r="V47" s="494">
        <v>38</v>
      </c>
      <c r="W47" s="494">
        <v>1</v>
      </c>
      <c r="X47" s="494">
        <v>20</v>
      </c>
      <c r="Y47" s="494">
        <v>1</v>
      </c>
      <c r="Z47" s="494">
        <f t="shared" si="21"/>
        <v>102.07034531513239</v>
      </c>
      <c r="AA47" s="494">
        <f t="shared" si="24"/>
        <v>0.4947134863964075</v>
      </c>
      <c r="AB47" s="494"/>
      <c r="AC47" s="494"/>
      <c r="AD47" s="505"/>
      <c r="AE47" s="496"/>
      <c r="AF47" s="497"/>
    </row>
    <row r="48" spans="1:36" x14ac:dyDescent="0.2">
      <c r="A48" s="499">
        <v>390</v>
      </c>
      <c r="B48" s="483">
        <v>0</v>
      </c>
      <c r="C48" s="471">
        <f>C49-D49</f>
        <v>1173</v>
      </c>
      <c r="D48" s="528">
        <v>30</v>
      </c>
      <c r="E48" s="529"/>
      <c r="F48" s="530"/>
      <c r="G48" s="531">
        <f t="shared" si="14"/>
        <v>30</v>
      </c>
      <c r="H48" s="529">
        <v>5.7</v>
      </c>
      <c r="I48" s="529"/>
      <c r="J48" s="529"/>
      <c r="K48" s="529"/>
      <c r="L48" s="532">
        <f t="shared" si="15"/>
        <v>5.7</v>
      </c>
      <c r="M48" s="471">
        <f t="shared" si="18"/>
        <v>765.52758986349284</v>
      </c>
      <c r="N48" s="489">
        <f t="shared" si="22"/>
        <v>1143</v>
      </c>
      <c r="O48" s="490">
        <f t="shared" si="19"/>
        <v>1173</v>
      </c>
      <c r="P48" s="491">
        <f t="shared" si="23"/>
        <v>0.50945257253176712</v>
      </c>
      <c r="Q48" s="492">
        <f t="shared" si="20"/>
        <v>0.15283577175953014</v>
      </c>
      <c r="R48" s="493">
        <f>SUM(Q$13:Q48)</f>
        <v>5.4397861561357406</v>
      </c>
      <c r="S48" s="494">
        <f t="shared" si="16"/>
        <v>0.46374988543356693</v>
      </c>
      <c r="T48" s="494"/>
      <c r="U48" s="494"/>
      <c r="V48" s="494"/>
      <c r="W48" s="494"/>
      <c r="X48" s="494"/>
      <c r="Y48" s="494"/>
      <c r="Z48" s="494">
        <f t="shared" si="21"/>
        <v>0</v>
      </c>
      <c r="AA48" s="494">
        <f t="shared" si="24"/>
        <v>0.50945257253176712</v>
      </c>
      <c r="AB48" s="494"/>
      <c r="AC48" s="494"/>
      <c r="AD48" s="505"/>
      <c r="AE48" s="496"/>
      <c r="AF48" s="497"/>
    </row>
    <row r="49" spans="1:36" x14ac:dyDescent="0.2">
      <c r="A49" s="499">
        <v>780</v>
      </c>
      <c r="B49" s="483">
        <v>0</v>
      </c>
      <c r="C49" s="471">
        <v>1224</v>
      </c>
      <c r="D49" s="528">
        <v>51</v>
      </c>
      <c r="E49" s="529"/>
      <c r="F49" s="530"/>
      <c r="G49" s="531">
        <f t="shared" si="14"/>
        <v>51</v>
      </c>
      <c r="H49" s="529">
        <v>5.7</v>
      </c>
      <c r="I49" s="529"/>
      <c r="J49" s="529"/>
      <c r="K49" s="529"/>
      <c r="L49" s="532">
        <f t="shared" si="15"/>
        <v>5.7</v>
      </c>
      <c r="M49" s="471">
        <f t="shared" si="18"/>
        <v>1301.3969027679379</v>
      </c>
      <c r="N49" s="489">
        <f t="shared" si="22"/>
        <v>1173</v>
      </c>
      <c r="O49" s="490">
        <f>(C49+C50-D50)/2</f>
        <v>1225</v>
      </c>
      <c r="P49" s="491">
        <f t="shared" si="23"/>
        <v>0.59935596768443189</v>
      </c>
      <c r="Q49" s="492">
        <f>(P49*(O49-N49))/100</f>
        <v>0.31166510319590457</v>
      </c>
      <c r="R49" s="493">
        <f>SUM(Q$13:Q49)</f>
        <v>5.7514512593316454</v>
      </c>
      <c r="S49" s="494">
        <f t="shared" si="16"/>
        <v>0.46950622525156288</v>
      </c>
      <c r="T49" s="494">
        <v>66</v>
      </c>
      <c r="U49" s="494">
        <v>0.5</v>
      </c>
      <c r="V49" s="494">
        <v>59</v>
      </c>
      <c r="W49" s="494">
        <v>0.5</v>
      </c>
      <c r="X49" s="494"/>
      <c r="Y49" s="494"/>
      <c r="Z49" s="494">
        <f t="shared" si="21"/>
        <v>25.517586328783096</v>
      </c>
      <c r="AA49" s="494">
        <f t="shared" si="24"/>
        <v>0.58912086481589843</v>
      </c>
      <c r="AB49" s="494"/>
      <c r="AC49" s="494"/>
      <c r="AD49" s="505"/>
      <c r="AE49" s="496"/>
      <c r="AF49" s="497"/>
    </row>
    <row r="50" spans="1:36" x14ac:dyDescent="0.2">
      <c r="A50" s="499">
        <v>580</v>
      </c>
      <c r="B50" s="483">
        <v>0</v>
      </c>
      <c r="C50" s="471">
        <f>C51-D51</f>
        <v>1264</v>
      </c>
      <c r="D50" s="528">
        <v>38</v>
      </c>
      <c r="E50" s="529"/>
      <c r="F50" s="530"/>
      <c r="G50" s="531">
        <f t="shared" si="14"/>
        <v>38</v>
      </c>
      <c r="H50" s="529">
        <v>5.7</v>
      </c>
      <c r="I50" s="529"/>
      <c r="J50" s="529"/>
      <c r="K50" s="529"/>
      <c r="L50" s="532">
        <f t="shared" si="15"/>
        <v>5.7</v>
      </c>
      <c r="M50" s="471">
        <f t="shared" si="18"/>
        <v>969.66828049375761</v>
      </c>
      <c r="N50" s="489">
        <f t="shared" si="22"/>
        <v>1225</v>
      </c>
      <c r="O50" s="490">
        <f t="shared" si="19"/>
        <v>1264</v>
      </c>
      <c r="P50" s="491">
        <f t="shared" si="23"/>
        <v>0.59814269649478735</v>
      </c>
      <c r="Q50" s="492">
        <f t="shared" si="20"/>
        <v>0.23327565163296707</v>
      </c>
      <c r="R50" s="493">
        <f>SUM(Q$13:Q50)</f>
        <v>5.9847269109646124</v>
      </c>
      <c r="S50" s="494">
        <f t="shared" si="16"/>
        <v>0.47347523029783328</v>
      </c>
      <c r="T50" s="494"/>
      <c r="U50" s="494"/>
      <c r="V50" s="494"/>
      <c r="W50" s="494"/>
      <c r="X50" s="494"/>
      <c r="Y50" s="494"/>
      <c r="Z50" s="494">
        <f t="shared" si="21"/>
        <v>0</v>
      </c>
      <c r="AA50" s="494">
        <f t="shared" si="24"/>
        <v>0.59814269649478735</v>
      </c>
      <c r="AB50" s="494"/>
      <c r="AC50" s="494"/>
      <c r="AD50" s="505"/>
      <c r="AE50" s="496"/>
      <c r="AF50" s="497"/>
    </row>
    <row r="51" spans="1:36" x14ac:dyDescent="0.2">
      <c r="A51" s="499">
        <v>540</v>
      </c>
      <c r="B51" s="483">
        <v>0</v>
      </c>
      <c r="C51" s="471">
        <v>1300</v>
      </c>
      <c r="D51" s="528">
        <v>36</v>
      </c>
      <c r="E51" s="529"/>
      <c r="F51" s="530"/>
      <c r="G51" s="531">
        <f t="shared" si="14"/>
        <v>36</v>
      </c>
      <c r="H51" s="529">
        <v>5.7</v>
      </c>
      <c r="I51" s="529"/>
      <c r="J51" s="529"/>
      <c r="K51" s="529"/>
      <c r="L51" s="532">
        <f t="shared" si="15"/>
        <v>5.7</v>
      </c>
      <c r="M51" s="471">
        <f t="shared" si="18"/>
        <v>918.63310783619147</v>
      </c>
      <c r="N51" s="489">
        <f t="shared" si="22"/>
        <v>1264</v>
      </c>
      <c r="O51" s="490">
        <f t="shared" si="19"/>
        <v>1299.75</v>
      </c>
      <c r="P51" s="491">
        <f t="shared" si="23"/>
        <v>0.58782989138280828</v>
      </c>
      <c r="Q51" s="492">
        <f t="shared" si="20"/>
        <v>0.21014918616935396</v>
      </c>
      <c r="R51" s="493">
        <f>SUM(Q$13:Q51)</f>
        <v>6.1948760971339665</v>
      </c>
      <c r="S51" s="494">
        <f t="shared" si="16"/>
        <v>0.47662058835421944</v>
      </c>
      <c r="T51" s="494">
        <v>5</v>
      </c>
      <c r="U51" s="494">
        <v>0.3</v>
      </c>
      <c r="V51" s="494">
        <v>4</v>
      </c>
      <c r="W51" s="494">
        <v>0.5</v>
      </c>
      <c r="X51" s="494">
        <v>1</v>
      </c>
      <c r="Y51" s="494">
        <v>0.5</v>
      </c>
      <c r="Z51" s="494">
        <f t="shared" si="21"/>
        <v>33.172862227418022</v>
      </c>
      <c r="AA51" s="494">
        <f t="shared" si="24"/>
        <v>0.56822569583102744</v>
      </c>
      <c r="AB51" s="494"/>
      <c r="AC51" s="494"/>
      <c r="AD51" s="505"/>
      <c r="AE51" s="496"/>
      <c r="AF51" s="497"/>
    </row>
    <row r="52" spans="1:36" ht="10.8" thickBot="1" x14ac:dyDescent="0.25">
      <c r="A52" s="499">
        <v>570</v>
      </c>
      <c r="B52" s="483">
        <v>0</v>
      </c>
      <c r="C52" s="471">
        <f>C53-D53</f>
        <v>1338</v>
      </c>
      <c r="D52" s="528">
        <v>38.5</v>
      </c>
      <c r="E52" s="529"/>
      <c r="F52" s="530"/>
      <c r="G52" s="531">
        <f t="shared" si="14"/>
        <v>38.5</v>
      </c>
      <c r="H52" s="529">
        <v>5.7</v>
      </c>
      <c r="I52" s="529"/>
      <c r="J52" s="529"/>
      <c r="K52" s="529"/>
      <c r="L52" s="532">
        <f t="shared" si="15"/>
        <v>5.7</v>
      </c>
      <c r="M52" s="471">
        <f t="shared" si="18"/>
        <v>982.4270736581492</v>
      </c>
      <c r="N52" s="489">
        <f t="shared" si="22"/>
        <v>1299.75</v>
      </c>
      <c r="O52" s="490">
        <f t="shared" si="19"/>
        <v>1338</v>
      </c>
      <c r="P52" s="491">
        <f t="shared" si="23"/>
        <v>0.58019573694926529</v>
      </c>
      <c r="Q52" s="492">
        <f t="shared" si="20"/>
        <v>0.22192486938309397</v>
      </c>
      <c r="R52" s="493">
        <f>SUM(Q$13:Q52)</f>
        <v>6.4168009665170604</v>
      </c>
      <c r="S52" s="494">
        <f t="shared" si="16"/>
        <v>0.47958153710889834</v>
      </c>
      <c r="T52" s="494"/>
      <c r="U52" s="494"/>
      <c r="V52" s="494"/>
      <c r="W52" s="494"/>
      <c r="X52" s="494"/>
      <c r="Y52" s="494"/>
      <c r="Z52" s="494">
        <f t="shared" si="21"/>
        <v>0</v>
      </c>
      <c r="AA52" s="494">
        <f t="shared" si="24"/>
        <v>0.58019573694926529</v>
      </c>
      <c r="AB52" s="494"/>
      <c r="AC52" s="494"/>
      <c r="AD52" s="505"/>
      <c r="AE52" s="496"/>
      <c r="AF52" s="542"/>
    </row>
    <row r="53" spans="1:36" x14ac:dyDescent="0.2">
      <c r="A53" s="499">
        <v>710</v>
      </c>
      <c r="B53" s="483">
        <v>0</v>
      </c>
      <c r="C53" s="471">
        <v>1383</v>
      </c>
      <c r="D53" s="528">
        <v>45</v>
      </c>
      <c r="E53" s="529"/>
      <c r="F53" s="530"/>
      <c r="G53" s="531">
        <f t="shared" si="14"/>
        <v>45</v>
      </c>
      <c r="H53" s="529">
        <v>5.7</v>
      </c>
      <c r="I53" s="529"/>
      <c r="J53" s="529"/>
      <c r="K53" s="529"/>
      <c r="L53" s="532">
        <f t="shared" si="15"/>
        <v>5.7</v>
      </c>
      <c r="M53" s="471">
        <f t="shared" si="18"/>
        <v>1148.2913847952393</v>
      </c>
      <c r="N53" s="489">
        <f t="shared" si="22"/>
        <v>1338</v>
      </c>
      <c r="O53" s="490">
        <f t="shared" si="19"/>
        <v>1381.5</v>
      </c>
      <c r="P53" s="491">
        <f t="shared" si="23"/>
        <v>0.6183099598248798</v>
      </c>
      <c r="Q53" s="492">
        <f t="shared" si="20"/>
        <v>0.26896483252382269</v>
      </c>
      <c r="R53" s="493">
        <f>SUM(Q$13:Q53)</f>
        <v>6.6857657990408832</v>
      </c>
      <c r="S53" s="494">
        <f t="shared" si="16"/>
        <v>0.4839497502020183</v>
      </c>
      <c r="T53" s="494"/>
      <c r="U53" s="494"/>
      <c r="V53" s="494"/>
      <c r="W53" s="494"/>
      <c r="X53" s="494"/>
      <c r="Y53" s="494"/>
      <c r="Z53" s="494">
        <f t="shared" si="21"/>
        <v>0</v>
      </c>
      <c r="AA53" s="494">
        <f t="shared" si="24"/>
        <v>0.6183099598248798</v>
      </c>
      <c r="AB53" s="494"/>
      <c r="AC53" s="494"/>
      <c r="AD53" s="505"/>
      <c r="AE53" s="543" t="s">
        <v>153</v>
      </c>
      <c r="AF53" s="544">
        <f>AVERAGE(AF12:AF52)</f>
        <v>933.5</v>
      </c>
    </row>
    <row r="54" spans="1:36" x14ac:dyDescent="0.2">
      <c r="A54" s="499">
        <v>595</v>
      </c>
      <c r="B54" s="483">
        <v>0</v>
      </c>
      <c r="C54" s="471">
        <f>C55-D55</f>
        <v>1418</v>
      </c>
      <c r="D54" s="528">
        <v>38</v>
      </c>
      <c r="E54" s="529"/>
      <c r="F54" s="530"/>
      <c r="G54" s="531">
        <f t="shared" si="14"/>
        <v>38</v>
      </c>
      <c r="H54" s="529">
        <v>5.7</v>
      </c>
      <c r="I54" s="529"/>
      <c r="J54" s="529"/>
      <c r="K54" s="529"/>
      <c r="L54" s="532">
        <f t="shared" si="15"/>
        <v>5.7</v>
      </c>
      <c r="M54" s="471">
        <f t="shared" si="18"/>
        <v>969.66828049375761</v>
      </c>
      <c r="N54" s="489">
        <f t="shared" si="22"/>
        <v>1381.5</v>
      </c>
      <c r="O54" s="490">
        <f t="shared" si="19"/>
        <v>1418</v>
      </c>
      <c r="P54" s="491">
        <f t="shared" si="23"/>
        <v>0.61361190416275602</v>
      </c>
      <c r="Q54" s="492">
        <f t="shared" si="20"/>
        <v>0.22396834501940596</v>
      </c>
      <c r="R54" s="493">
        <f>SUM(Q$13:Q54)</f>
        <v>6.9097341440602893</v>
      </c>
      <c r="S54" s="494">
        <f t="shared" si="16"/>
        <v>0.4872873162242799</v>
      </c>
      <c r="T54" s="494"/>
      <c r="U54" s="494"/>
      <c r="V54" s="494"/>
      <c r="W54" s="494"/>
      <c r="X54" s="494"/>
      <c r="Y54" s="494"/>
      <c r="Z54" s="494">
        <f t="shared" si="21"/>
        <v>0</v>
      </c>
      <c r="AA54" s="494">
        <f t="shared" si="24"/>
        <v>0.61361190416275602</v>
      </c>
      <c r="AB54" s="494"/>
      <c r="AC54" s="494"/>
      <c r="AD54" s="505"/>
      <c r="AE54" s="370" t="s">
        <v>154</v>
      </c>
      <c r="AF54" s="542" t="e">
        <f>STDEV(AF12:AF52)</f>
        <v>#DIV/0!</v>
      </c>
      <c r="AG54" s="545"/>
      <c r="AH54" s="545"/>
    </row>
    <row r="55" spans="1:36" x14ac:dyDescent="0.2">
      <c r="A55" s="499">
        <v>610</v>
      </c>
      <c r="B55" s="483">
        <v>0</v>
      </c>
      <c r="C55" s="471">
        <v>1457</v>
      </c>
      <c r="D55" s="528">
        <v>39</v>
      </c>
      <c r="E55" s="529"/>
      <c r="F55" s="530"/>
      <c r="G55" s="531">
        <f t="shared" si="14"/>
        <v>39</v>
      </c>
      <c r="H55" s="529">
        <v>5.7</v>
      </c>
      <c r="I55" s="529"/>
      <c r="J55" s="529"/>
      <c r="K55" s="529"/>
      <c r="L55" s="532">
        <f t="shared" si="15"/>
        <v>5.7</v>
      </c>
      <c r="M55" s="471">
        <f t="shared" si="18"/>
        <v>995.18586682254067</v>
      </c>
      <c r="N55" s="489">
        <f t="shared" si="22"/>
        <v>1418</v>
      </c>
      <c r="O55" s="490">
        <f t="shared" si="19"/>
        <v>1458.75</v>
      </c>
      <c r="P55" s="491">
        <f t="shared" si="23"/>
        <v>0.6129508269119881</v>
      </c>
      <c r="Q55" s="492">
        <f t="shared" si="20"/>
        <v>0.24977746196663514</v>
      </c>
      <c r="R55" s="493">
        <f>SUM(Q$13:Q55)</f>
        <v>7.1595116060269248</v>
      </c>
      <c r="S55" s="494">
        <f t="shared" si="16"/>
        <v>0.49079771078162299</v>
      </c>
      <c r="T55" s="494">
        <v>61</v>
      </c>
      <c r="U55" s="494">
        <v>0.2</v>
      </c>
      <c r="V55" s="494"/>
      <c r="W55" s="494"/>
      <c r="X55" s="494"/>
      <c r="Y55" s="494"/>
      <c r="Z55" s="494">
        <f t="shared" si="21"/>
        <v>5.1035172657566195</v>
      </c>
      <c r="AA55" s="494">
        <f t="shared" si="24"/>
        <v>0.61038299039549782</v>
      </c>
      <c r="AB55" s="494"/>
      <c r="AC55" s="494"/>
      <c r="AD55" s="505"/>
      <c r="AE55" s="370" t="s">
        <v>156</v>
      </c>
      <c r="AF55" s="542" t="e">
        <f>AF54/SQRT(COUNT(AF12:AF52))</f>
        <v>#DIV/0!</v>
      </c>
      <c r="AG55" s="540"/>
      <c r="AH55" s="545"/>
      <c r="AI55" s="545"/>
      <c r="AJ55" s="545"/>
    </row>
    <row r="56" spans="1:36" x14ac:dyDescent="0.2">
      <c r="A56" s="499">
        <v>690</v>
      </c>
      <c r="B56" s="483">
        <v>0</v>
      </c>
      <c r="C56" s="471">
        <f>C57-D57</f>
        <v>1500</v>
      </c>
      <c r="D56" s="528">
        <v>39.5</v>
      </c>
      <c r="E56" s="529"/>
      <c r="F56" s="530"/>
      <c r="G56" s="531">
        <f t="shared" ref="G56:G80" si="25">AVERAGE(D56:F56)</f>
        <v>39.5</v>
      </c>
      <c r="H56" s="529">
        <v>5.7</v>
      </c>
      <c r="I56" s="529"/>
      <c r="J56" s="529"/>
      <c r="K56" s="529"/>
      <c r="L56" s="532">
        <f t="shared" ref="L56:L69" si="26">AVERAGE(H56:K56)</f>
        <v>5.7</v>
      </c>
      <c r="M56" s="471">
        <f t="shared" ref="M56:M69" si="27">G56*    PI()* (L56/2)^2</f>
        <v>1007.9446599869324</v>
      </c>
      <c r="N56" s="489">
        <f t="shared" si="22"/>
        <v>1458.75</v>
      </c>
      <c r="O56" s="490">
        <f t="shared" si="19"/>
        <v>1500</v>
      </c>
      <c r="P56" s="491">
        <f t="shared" ref="P56:P69" si="28">(A56-B56)/M56</f>
        <v>0.68456139249643488</v>
      </c>
      <c r="Q56" s="492">
        <f t="shared" si="20"/>
        <v>0.2823815744047794</v>
      </c>
      <c r="R56" s="493">
        <f>SUM(Q$13:Q56)</f>
        <v>7.4418931804317046</v>
      </c>
      <c r="S56" s="494">
        <f t="shared" ref="S56:S69" si="29">R56/O56*100</f>
        <v>0.49612621202878032</v>
      </c>
      <c r="T56" s="494"/>
      <c r="U56" s="494"/>
      <c r="V56" s="494"/>
      <c r="W56" s="494"/>
      <c r="X56" s="494"/>
      <c r="Y56" s="494"/>
      <c r="Z56" s="494">
        <f t="shared" si="21"/>
        <v>0</v>
      </c>
      <c r="AA56" s="494">
        <f t="shared" si="24"/>
        <v>0.68456139249643488</v>
      </c>
      <c r="AB56" s="494"/>
      <c r="AC56" s="494"/>
      <c r="AD56" s="505"/>
      <c r="AE56" s="370" t="s">
        <v>157</v>
      </c>
      <c r="AF56" s="542">
        <f>MAX(AF12:AF52)</f>
        <v>933.5</v>
      </c>
      <c r="AG56" s="540"/>
    </row>
    <row r="57" spans="1:36" ht="10.8" thickBot="1" x14ac:dyDescent="0.25">
      <c r="A57" s="499">
        <v>490</v>
      </c>
      <c r="B57" s="483">
        <v>0</v>
      </c>
      <c r="C57" s="471">
        <v>1530</v>
      </c>
      <c r="D57" s="528">
        <v>30</v>
      </c>
      <c r="E57" s="529"/>
      <c r="F57" s="530"/>
      <c r="G57" s="531">
        <f t="shared" si="25"/>
        <v>30</v>
      </c>
      <c r="H57" s="529">
        <v>5.7</v>
      </c>
      <c r="I57" s="529"/>
      <c r="J57" s="529"/>
      <c r="K57" s="529"/>
      <c r="L57" s="532">
        <f t="shared" si="26"/>
        <v>5.7</v>
      </c>
      <c r="M57" s="471">
        <f t="shared" si="27"/>
        <v>765.52758986349284</v>
      </c>
      <c r="N57" s="489">
        <f t="shared" si="22"/>
        <v>1500</v>
      </c>
      <c r="O57" s="490">
        <f t="shared" si="19"/>
        <v>1527.75</v>
      </c>
      <c r="P57" s="491">
        <f t="shared" si="28"/>
        <v>0.64008143728350231</v>
      </c>
      <c r="Q57" s="492">
        <f t="shared" si="20"/>
        <v>0.1776225988461719</v>
      </c>
      <c r="R57" s="493">
        <f>SUM(Q$13:Q57)</f>
        <v>7.6195157792778767</v>
      </c>
      <c r="S57" s="494">
        <f t="shared" si="29"/>
        <v>0.49874100993473258</v>
      </c>
      <c r="T57" s="494">
        <v>67.5</v>
      </c>
      <c r="U57" s="494">
        <v>0.4</v>
      </c>
      <c r="V57" s="494">
        <v>62.5</v>
      </c>
      <c r="W57" s="494">
        <v>1</v>
      </c>
      <c r="X57" s="494">
        <v>28</v>
      </c>
      <c r="Y57" s="494">
        <v>0.3</v>
      </c>
      <c r="Z57" s="494">
        <f t="shared" si="21"/>
        <v>43.379896758931267</v>
      </c>
      <c r="AA57" s="494">
        <f t="shared" si="24"/>
        <v>0.61178636853767432</v>
      </c>
      <c r="AB57" s="494"/>
      <c r="AC57" s="494"/>
      <c r="AD57" s="505"/>
      <c r="AE57" s="582" t="s">
        <v>158</v>
      </c>
      <c r="AF57" s="583">
        <f>MIN(AF12:AF52)</f>
        <v>933.5</v>
      </c>
      <c r="AG57" s="545"/>
    </row>
    <row r="58" spans="1:36" x14ac:dyDescent="0.2">
      <c r="A58" s="499">
        <v>585</v>
      </c>
      <c r="B58" s="483">
        <v>0</v>
      </c>
      <c r="C58" s="471">
        <f>C59-D59</f>
        <v>1558.5</v>
      </c>
      <c r="D58" s="528">
        <v>33</v>
      </c>
      <c r="E58" s="529"/>
      <c r="F58" s="530"/>
      <c r="G58" s="531">
        <f t="shared" si="25"/>
        <v>33</v>
      </c>
      <c r="H58" s="529">
        <v>5.7</v>
      </c>
      <c r="I58" s="529"/>
      <c r="J58" s="529"/>
      <c r="K58" s="529"/>
      <c r="L58" s="532">
        <f t="shared" si="26"/>
        <v>5.7</v>
      </c>
      <c r="M58" s="471">
        <f t="shared" si="27"/>
        <v>842.08034884984215</v>
      </c>
      <c r="N58" s="489">
        <f t="shared" si="22"/>
        <v>1527.75</v>
      </c>
      <c r="O58" s="490">
        <f t="shared" si="19"/>
        <v>1558.5</v>
      </c>
      <c r="P58" s="491">
        <f t="shared" si="28"/>
        <v>0.69470805345240971</v>
      </c>
      <c r="Q58" s="492">
        <f t="shared" si="20"/>
        <v>0.21362272643661598</v>
      </c>
      <c r="R58" s="493">
        <f>SUM(Q$13:Q58)</f>
        <v>7.8331385057144924</v>
      </c>
      <c r="S58" s="494">
        <f t="shared" si="29"/>
        <v>0.50260753966727578</v>
      </c>
      <c r="T58" s="494"/>
      <c r="U58" s="494"/>
      <c r="V58" s="494"/>
      <c r="W58" s="494"/>
      <c r="X58" s="494"/>
      <c r="Y58" s="494"/>
      <c r="Z58" s="494">
        <f t="shared" si="21"/>
        <v>0</v>
      </c>
      <c r="AA58" s="494">
        <f t="shared" si="24"/>
        <v>0.69470805345240971</v>
      </c>
      <c r="AB58" s="494"/>
      <c r="AC58" s="494"/>
      <c r="AD58" s="505"/>
    </row>
    <row r="59" spans="1:36" x14ac:dyDescent="0.2">
      <c r="A59" s="499">
        <v>820</v>
      </c>
      <c r="B59" s="483">
        <v>0</v>
      </c>
      <c r="C59" s="471">
        <v>1602</v>
      </c>
      <c r="D59" s="528">
        <v>43.5</v>
      </c>
      <c r="E59" s="529"/>
      <c r="F59" s="530"/>
      <c r="G59" s="531">
        <f t="shared" si="25"/>
        <v>43.5</v>
      </c>
      <c r="H59" s="529">
        <v>5.7</v>
      </c>
      <c r="I59" s="529"/>
      <c r="J59" s="529"/>
      <c r="K59" s="529"/>
      <c r="L59" s="532">
        <f t="shared" si="26"/>
        <v>5.7</v>
      </c>
      <c r="M59" s="471">
        <f t="shared" si="27"/>
        <v>1110.0150053020645</v>
      </c>
      <c r="N59" s="489">
        <f t="shared" si="22"/>
        <v>1558.5</v>
      </c>
      <c r="O59" s="490">
        <f t="shared" si="19"/>
        <v>1603</v>
      </c>
      <c r="P59" s="491">
        <f t="shared" si="28"/>
        <v>0.73872875238912306</v>
      </c>
      <c r="Q59" s="492">
        <f t="shared" si="20"/>
        <v>0.32873429481315974</v>
      </c>
      <c r="R59" s="493">
        <f>SUM(Q$13:Q59)</f>
        <v>8.161872800527652</v>
      </c>
      <c r="S59" s="494">
        <f t="shared" si="29"/>
        <v>0.50916237058812552</v>
      </c>
      <c r="T59" s="494">
        <v>14</v>
      </c>
      <c r="U59" s="494">
        <v>14</v>
      </c>
      <c r="V59" s="494"/>
      <c r="W59" s="494"/>
      <c r="X59" s="494"/>
      <c r="Y59" s="494"/>
      <c r="Z59" s="494">
        <f t="shared" si="21"/>
        <v>357.24620860296335</v>
      </c>
      <c r="AA59" s="494">
        <f t="shared" si="24"/>
        <v>0.56200492113123046</v>
      </c>
      <c r="AB59" s="494"/>
      <c r="AC59" s="494"/>
      <c r="AD59" s="505"/>
    </row>
    <row r="60" spans="1:36" x14ac:dyDescent="0.2">
      <c r="A60" s="499">
        <v>680</v>
      </c>
      <c r="B60" s="483">
        <v>0</v>
      </c>
      <c r="C60" s="471">
        <f>C61-D61</f>
        <v>1644</v>
      </c>
      <c r="D60" s="528">
        <v>40</v>
      </c>
      <c r="E60" s="529"/>
      <c r="F60" s="530"/>
      <c r="G60" s="531">
        <f t="shared" si="25"/>
        <v>40</v>
      </c>
      <c r="H60" s="529">
        <v>5.7</v>
      </c>
      <c r="I60" s="529"/>
      <c r="J60" s="529"/>
      <c r="K60" s="529"/>
      <c r="L60" s="532">
        <f t="shared" si="26"/>
        <v>5.7</v>
      </c>
      <c r="M60" s="471">
        <f t="shared" si="27"/>
        <v>1020.7034531513239</v>
      </c>
      <c r="N60" s="489">
        <f t="shared" si="22"/>
        <v>1603</v>
      </c>
      <c r="O60" s="490">
        <f t="shared" si="19"/>
        <v>1644</v>
      </c>
      <c r="P60" s="491">
        <f t="shared" si="28"/>
        <v>0.66620721023384932</v>
      </c>
      <c r="Q60" s="492">
        <f t="shared" si="20"/>
        <v>0.27314495619587825</v>
      </c>
      <c r="R60" s="493">
        <f>SUM(Q$13:Q60)</f>
        <v>8.4350177567235303</v>
      </c>
      <c r="S60" s="494">
        <f t="shared" si="29"/>
        <v>0.5130789389734508</v>
      </c>
      <c r="T60" s="494"/>
      <c r="U60" s="494"/>
      <c r="V60" s="494"/>
      <c r="W60" s="494"/>
      <c r="X60" s="494"/>
      <c r="Y60" s="494"/>
      <c r="Z60" s="494">
        <f t="shared" si="21"/>
        <v>0</v>
      </c>
      <c r="AA60" s="494">
        <f t="shared" si="24"/>
        <v>0.66620721023384932</v>
      </c>
      <c r="AB60" s="494"/>
      <c r="AC60" s="494"/>
      <c r="AD60" s="505"/>
    </row>
    <row r="61" spans="1:36" x14ac:dyDescent="0.2">
      <c r="A61" s="499">
        <v>670</v>
      </c>
      <c r="B61" s="483">
        <v>0</v>
      </c>
      <c r="C61" s="471">
        <v>1682</v>
      </c>
      <c r="D61" s="528">
        <v>38</v>
      </c>
      <c r="E61" s="529"/>
      <c r="F61" s="530"/>
      <c r="G61" s="531">
        <f t="shared" si="25"/>
        <v>38</v>
      </c>
      <c r="H61" s="529">
        <v>5.7</v>
      </c>
      <c r="I61" s="529"/>
      <c r="J61" s="529"/>
      <c r="K61" s="529"/>
      <c r="L61" s="532">
        <f t="shared" si="26"/>
        <v>5.7</v>
      </c>
      <c r="M61" s="471">
        <f t="shared" si="27"/>
        <v>969.66828049375761</v>
      </c>
      <c r="N61" s="489">
        <f t="shared" si="22"/>
        <v>1644</v>
      </c>
      <c r="O61" s="490">
        <f t="shared" si="19"/>
        <v>1684</v>
      </c>
      <c r="P61" s="491">
        <f t="shared" si="28"/>
        <v>0.69095794250259923</v>
      </c>
      <c r="Q61" s="492">
        <f t="shared" si="20"/>
        <v>0.2763831770010397</v>
      </c>
      <c r="R61" s="493">
        <f>SUM(Q$13:Q61)</f>
        <v>8.7114009337245708</v>
      </c>
      <c r="S61" s="494">
        <f t="shared" si="29"/>
        <v>0.5173040934515778</v>
      </c>
      <c r="T61" s="494">
        <v>56</v>
      </c>
      <c r="U61" s="494">
        <v>1</v>
      </c>
      <c r="V61" s="494">
        <v>0</v>
      </c>
      <c r="W61" s="494">
        <v>0.3</v>
      </c>
      <c r="X61" s="494"/>
      <c r="Y61" s="494"/>
      <c r="Z61" s="494">
        <f t="shared" si="21"/>
        <v>33.172862227418022</v>
      </c>
      <c r="AA61" s="494">
        <f t="shared" si="24"/>
        <v>0.67607513271537667</v>
      </c>
      <c r="AB61" s="494"/>
      <c r="AC61" s="494"/>
      <c r="AD61" s="505"/>
    </row>
    <row r="62" spans="1:36" x14ac:dyDescent="0.2">
      <c r="A62" s="499">
        <v>1000</v>
      </c>
      <c r="B62" s="483">
        <v>0</v>
      </c>
      <c r="C62" s="471">
        <v>1741</v>
      </c>
      <c r="D62" s="528">
        <v>55</v>
      </c>
      <c r="E62" s="529"/>
      <c r="F62" s="530"/>
      <c r="G62" s="531">
        <f t="shared" si="25"/>
        <v>55</v>
      </c>
      <c r="H62" s="529">
        <v>5.7</v>
      </c>
      <c r="I62" s="529"/>
      <c r="J62" s="529"/>
      <c r="K62" s="529"/>
      <c r="L62" s="532">
        <f t="shared" si="26"/>
        <v>5.7</v>
      </c>
      <c r="M62" s="471">
        <f t="shared" si="27"/>
        <v>1403.4672480830704</v>
      </c>
      <c r="N62" s="489">
        <f t="shared" si="22"/>
        <v>1684</v>
      </c>
      <c r="O62" s="490">
        <f t="shared" si="19"/>
        <v>1738</v>
      </c>
      <c r="P62" s="491">
        <f t="shared" si="28"/>
        <v>0.71252108046400986</v>
      </c>
      <c r="Q62" s="492">
        <f t="shared" si="20"/>
        <v>0.38476138345056532</v>
      </c>
      <c r="R62" s="493">
        <f>SUM(Q$13:Q62)</f>
        <v>9.0961623171751356</v>
      </c>
      <c r="S62" s="494">
        <f t="shared" si="29"/>
        <v>0.5233695234277983</v>
      </c>
      <c r="T62" s="494">
        <v>46</v>
      </c>
      <c r="U62" s="494">
        <v>0.5</v>
      </c>
      <c r="V62" s="494">
        <v>48</v>
      </c>
      <c r="W62" s="494">
        <v>0.5</v>
      </c>
      <c r="X62" s="494"/>
      <c r="Y62" s="494"/>
      <c r="Z62" s="494">
        <f t="shared" si="21"/>
        <v>25.517586328783096</v>
      </c>
      <c r="AA62" s="494">
        <f t="shared" si="24"/>
        <v>0.70513978360017482</v>
      </c>
      <c r="AB62" s="494"/>
      <c r="AC62" s="494"/>
      <c r="AD62" s="505"/>
    </row>
    <row r="63" spans="1:36" x14ac:dyDescent="0.2">
      <c r="A63" s="499">
        <v>690</v>
      </c>
      <c r="B63" s="483">
        <v>0</v>
      </c>
      <c r="C63" s="471">
        <f>C64-D64</f>
        <v>1770</v>
      </c>
      <c r="D63" s="528">
        <v>35</v>
      </c>
      <c r="E63" s="529"/>
      <c r="F63" s="530"/>
      <c r="G63" s="531">
        <f t="shared" si="25"/>
        <v>35</v>
      </c>
      <c r="H63" s="529">
        <v>5.7</v>
      </c>
      <c r="I63" s="529"/>
      <c r="J63" s="529"/>
      <c r="K63" s="529"/>
      <c r="L63" s="532">
        <f t="shared" si="26"/>
        <v>5.7</v>
      </c>
      <c r="M63" s="471">
        <f t="shared" si="27"/>
        <v>893.11552150740829</v>
      </c>
      <c r="N63" s="489">
        <f t="shared" si="22"/>
        <v>1738</v>
      </c>
      <c r="O63" s="490">
        <f t="shared" si="19"/>
        <v>1770</v>
      </c>
      <c r="P63" s="491">
        <f t="shared" si="28"/>
        <v>0.77257642867454801</v>
      </c>
      <c r="Q63" s="492">
        <f t="shared" si="20"/>
        <v>0.24722445717585537</v>
      </c>
      <c r="R63" s="493">
        <f>SUM(Q$13:Q63)</f>
        <v>9.3433867743509911</v>
      </c>
      <c r="S63" s="494">
        <f t="shared" si="29"/>
        <v>0.52787495900288084</v>
      </c>
      <c r="T63" s="494"/>
      <c r="U63" s="494"/>
      <c r="V63" s="494"/>
      <c r="W63" s="494"/>
      <c r="X63" s="494"/>
      <c r="Y63" s="494"/>
      <c r="Z63" s="494">
        <f t="shared" si="21"/>
        <v>0</v>
      </c>
      <c r="AA63" s="494">
        <f t="shared" si="24"/>
        <v>0.77257642867454801</v>
      </c>
      <c r="AB63" s="494"/>
      <c r="AC63" s="494"/>
      <c r="AD63" s="505"/>
    </row>
    <row r="64" spans="1:36" x14ac:dyDescent="0.2">
      <c r="A64" s="499">
        <v>695</v>
      </c>
      <c r="B64" s="483">
        <v>0</v>
      </c>
      <c r="C64" s="471">
        <v>1805</v>
      </c>
      <c r="D64" s="528">
        <v>35</v>
      </c>
      <c r="E64" s="529"/>
      <c r="F64" s="530"/>
      <c r="G64" s="531">
        <f t="shared" si="25"/>
        <v>35</v>
      </c>
      <c r="H64" s="529">
        <v>5.7</v>
      </c>
      <c r="I64" s="529"/>
      <c r="J64" s="529"/>
      <c r="K64" s="529"/>
      <c r="L64" s="532">
        <f t="shared" si="26"/>
        <v>5.7</v>
      </c>
      <c r="M64" s="471">
        <f t="shared" si="27"/>
        <v>893.11552150740829</v>
      </c>
      <c r="N64" s="489">
        <f t="shared" si="22"/>
        <v>1770</v>
      </c>
      <c r="O64" s="490">
        <f t="shared" si="19"/>
        <v>1805</v>
      </c>
      <c r="P64" s="491">
        <f t="shared" si="28"/>
        <v>0.77817480859247956</v>
      </c>
      <c r="Q64" s="492">
        <f t="shared" si="20"/>
        <v>0.27236118300736784</v>
      </c>
      <c r="R64" s="493">
        <f>SUM(Q$13:Q64)</f>
        <v>9.6157479573583586</v>
      </c>
      <c r="S64" s="494">
        <f t="shared" si="29"/>
        <v>0.53272841869021381</v>
      </c>
      <c r="T64" s="541">
        <v>27</v>
      </c>
      <c r="U64" s="885">
        <v>0.5</v>
      </c>
      <c r="V64" s="886">
        <v>61</v>
      </c>
      <c r="W64" s="541">
        <v>4</v>
      </c>
      <c r="X64" s="630">
        <v>37</v>
      </c>
      <c r="Y64" s="494">
        <v>3</v>
      </c>
      <c r="Z64" s="494">
        <f t="shared" si="21"/>
        <v>191.38189746587321</v>
      </c>
      <c r="AA64" s="494">
        <f t="shared" si="24"/>
        <v>0.68737399881467098</v>
      </c>
      <c r="AB64" s="494"/>
      <c r="AC64" s="494"/>
      <c r="AD64" s="505"/>
    </row>
    <row r="65" spans="1:30" x14ac:dyDescent="0.2">
      <c r="A65" s="499">
        <v>760</v>
      </c>
      <c r="B65" s="483">
        <v>0</v>
      </c>
      <c r="C65" s="471">
        <f>C66-D66</f>
        <v>1844</v>
      </c>
      <c r="D65" s="528">
        <v>39</v>
      </c>
      <c r="E65" s="529"/>
      <c r="F65" s="530"/>
      <c r="G65" s="531">
        <f t="shared" si="25"/>
        <v>39</v>
      </c>
      <c r="H65" s="529">
        <v>5.7</v>
      </c>
      <c r="I65" s="529"/>
      <c r="J65" s="529"/>
      <c r="K65" s="529"/>
      <c r="L65" s="532">
        <f t="shared" si="26"/>
        <v>5.7</v>
      </c>
      <c r="M65" s="471">
        <f t="shared" si="27"/>
        <v>995.18586682254067</v>
      </c>
      <c r="N65" s="489">
        <f t="shared" si="22"/>
        <v>1805</v>
      </c>
      <c r="O65" s="490">
        <f t="shared" si="19"/>
        <v>1844</v>
      </c>
      <c r="P65" s="491">
        <f t="shared" si="28"/>
        <v>0.76367644008706714</v>
      </c>
      <c r="Q65" s="492">
        <f t="shared" si="20"/>
        <v>0.29783381163395617</v>
      </c>
      <c r="R65" s="493">
        <f>SUM(Q$13:Q65)</f>
        <v>9.913581768992314</v>
      </c>
      <c r="S65" s="494">
        <f t="shared" si="29"/>
        <v>0.53761289419698022</v>
      </c>
      <c r="T65" s="494"/>
      <c r="U65" s="494"/>
      <c r="V65" s="494"/>
      <c r="W65" s="494"/>
      <c r="X65" s="494"/>
      <c r="Y65" s="494"/>
      <c r="Z65" s="494">
        <f t="shared" si="21"/>
        <v>0</v>
      </c>
      <c r="AA65" s="494">
        <f t="shared" si="24"/>
        <v>0.76367644008706714</v>
      </c>
      <c r="AB65" s="494"/>
      <c r="AC65" s="494"/>
      <c r="AD65" s="505"/>
    </row>
    <row r="66" spans="1:30" x14ac:dyDescent="0.2">
      <c r="A66" s="499">
        <v>630</v>
      </c>
      <c r="B66" s="483">
        <v>0</v>
      </c>
      <c r="C66" s="471">
        <v>1880</v>
      </c>
      <c r="D66" s="528">
        <v>36</v>
      </c>
      <c r="E66" s="529"/>
      <c r="F66" s="530"/>
      <c r="G66" s="531">
        <f t="shared" si="25"/>
        <v>36</v>
      </c>
      <c r="H66" s="529">
        <v>5.7</v>
      </c>
      <c r="I66" s="529"/>
      <c r="J66" s="529"/>
      <c r="K66" s="529"/>
      <c r="L66" s="532">
        <f t="shared" si="26"/>
        <v>5.7</v>
      </c>
      <c r="M66" s="471">
        <f t="shared" si="27"/>
        <v>918.63310783619147</v>
      </c>
      <c r="N66" s="489">
        <f t="shared" si="22"/>
        <v>1844</v>
      </c>
      <c r="O66" s="490">
        <f t="shared" si="19"/>
        <v>1882.5</v>
      </c>
      <c r="P66" s="491">
        <f t="shared" si="28"/>
        <v>0.68580153994660964</v>
      </c>
      <c r="Q66" s="492">
        <f t="shared" si="20"/>
        <v>0.26403359287944472</v>
      </c>
      <c r="R66" s="493">
        <f>SUM(Q$13:Q66)</f>
        <v>10.177615361871759</v>
      </c>
      <c r="S66" s="494">
        <f t="shared" si="29"/>
        <v>0.54064357831988086</v>
      </c>
      <c r="T66" s="494">
        <v>29</v>
      </c>
      <c r="U66" s="494">
        <v>0.7</v>
      </c>
      <c r="V66" s="494">
        <v>60</v>
      </c>
      <c r="W66" s="494">
        <v>9</v>
      </c>
      <c r="X66" s="494"/>
      <c r="Y66" s="494"/>
      <c r="Z66" s="494">
        <f t="shared" si="21"/>
        <v>247.52058738919601</v>
      </c>
      <c r="AA66" s="494">
        <f t="shared" si="24"/>
        <v>0.52893831407985437</v>
      </c>
      <c r="AB66" s="494"/>
      <c r="AC66" s="494"/>
      <c r="AD66" s="505"/>
    </row>
    <row r="67" spans="1:30" x14ac:dyDescent="0.2">
      <c r="A67" s="499">
        <v>785</v>
      </c>
      <c r="B67" s="483">
        <v>0</v>
      </c>
      <c r="C67" s="471">
        <f>C68-D68</f>
        <v>1927</v>
      </c>
      <c r="D67" s="528">
        <v>42</v>
      </c>
      <c r="E67" s="529"/>
      <c r="F67" s="530"/>
      <c r="G67" s="531">
        <f t="shared" si="25"/>
        <v>42</v>
      </c>
      <c r="H67" s="529">
        <v>5.7</v>
      </c>
      <c r="I67" s="529"/>
      <c r="J67" s="529"/>
      <c r="K67" s="529"/>
      <c r="L67" s="532">
        <f t="shared" si="26"/>
        <v>5.7</v>
      </c>
      <c r="M67" s="471">
        <f t="shared" si="27"/>
        <v>1071.73862580889</v>
      </c>
      <c r="N67" s="489">
        <f t="shared" si="22"/>
        <v>1882.5</v>
      </c>
      <c r="O67" s="490">
        <f t="shared" si="19"/>
        <v>1927</v>
      </c>
      <c r="P67" s="491">
        <f t="shared" si="28"/>
        <v>0.73245470592937223</v>
      </c>
      <c r="Q67" s="492">
        <f t="shared" si="20"/>
        <v>0.32594234413857065</v>
      </c>
      <c r="R67" s="493">
        <f>SUM(Q$13:Q67)</f>
        <v>10.50355770601033</v>
      </c>
      <c r="S67" s="494">
        <f t="shared" si="29"/>
        <v>0.54507305168709552</v>
      </c>
      <c r="T67" s="494"/>
      <c r="U67" s="494"/>
      <c r="V67" s="494"/>
      <c r="W67" s="494"/>
      <c r="X67" s="494"/>
      <c r="Y67" s="494"/>
      <c r="Z67" s="494">
        <f t="shared" si="21"/>
        <v>0</v>
      </c>
      <c r="AA67" s="494">
        <f t="shared" si="24"/>
        <v>0.73245470592937223</v>
      </c>
      <c r="AB67" s="494"/>
      <c r="AC67" s="494"/>
      <c r="AD67" s="505"/>
    </row>
    <row r="68" spans="1:30" x14ac:dyDescent="0.2">
      <c r="A68" s="499">
        <v>450</v>
      </c>
      <c r="B68" s="483">
        <v>0</v>
      </c>
      <c r="C68" s="471">
        <v>1950</v>
      </c>
      <c r="D68" s="528">
        <v>23</v>
      </c>
      <c r="E68" s="529"/>
      <c r="F68" s="530"/>
      <c r="G68" s="531">
        <f t="shared" si="25"/>
        <v>23</v>
      </c>
      <c r="H68" s="529">
        <v>5.7</v>
      </c>
      <c r="I68" s="529"/>
      <c r="J68" s="529"/>
      <c r="K68" s="529"/>
      <c r="L68" s="532">
        <f t="shared" si="26"/>
        <v>5.7</v>
      </c>
      <c r="M68" s="471">
        <f t="shared" si="27"/>
        <v>586.90448556201113</v>
      </c>
      <c r="N68" s="489">
        <f t="shared" si="22"/>
        <v>1927</v>
      </c>
      <c r="O68" s="490">
        <f t="shared" si="19"/>
        <v>1949.75</v>
      </c>
      <c r="P68" s="491">
        <f t="shared" si="28"/>
        <v>0.76673464093409782</v>
      </c>
      <c r="Q68" s="492">
        <f t="shared" si="20"/>
        <v>0.17443213081250725</v>
      </c>
      <c r="R68" s="493">
        <f>SUM(Q$13:Q68)</f>
        <v>10.677989836822837</v>
      </c>
      <c r="S68" s="494">
        <f t="shared" si="29"/>
        <v>0.54765943514926718</v>
      </c>
      <c r="T68" s="494">
        <v>56</v>
      </c>
      <c r="U68" s="494">
        <v>1</v>
      </c>
      <c r="V68" s="494"/>
      <c r="W68" s="494"/>
      <c r="X68" s="494"/>
      <c r="Y68" s="494"/>
      <c r="Z68" s="494">
        <f t="shared" si="21"/>
        <v>25.517586328783096</v>
      </c>
      <c r="AA68" s="494">
        <f t="shared" si="24"/>
        <v>0.75108116501696076</v>
      </c>
      <c r="AB68" s="494">
        <v>43</v>
      </c>
      <c r="AC68" s="494">
        <v>1907</v>
      </c>
      <c r="AD68" s="505"/>
    </row>
    <row r="69" spans="1:30" x14ac:dyDescent="0.2">
      <c r="A69" s="499">
        <v>650</v>
      </c>
      <c r="B69" s="483">
        <v>0</v>
      </c>
      <c r="C69" s="471">
        <f>C70-D70</f>
        <v>1982.5</v>
      </c>
      <c r="D69" s="528">
        <v>33</v>
      </c>
      <c r="E69" s="529"/>
      <c r="F69" s="530"/>
      <c r="G69" s="531">
        <f t="shared" si="25"/>
        <v>33</v>
      </c>
      <c r="H69" s="529">
        <v>5.7</v>
      </c>
      <c r="I69" s="529"/>
      <c r="J69" s="529"/>
      <c r="K69" s="529"/>
      <c r="L69" s="532">
        <f t="shared" si="26"/>
        <v>5.7</v>
      </c>
      <c r="M69" s="471">
        <f t="shared" si="27"/>
        <v>842.08034884984215</v>
      </c>
      <c r="N69" s="489">
        <f t="shared" si="22"/>
        <v>1949.75</v>
      </c>
      <c r="O69" s="490">
        <f t="shared" si="19"/>
        <v>1982.5</v>
      </c>
      <c r="P69" s="491">
        <f t="shared" si="28"/>
        <v>0.77189783716934413</v>
      </c>
      <c r="Q69" s="492">
        <f t="shared" si="20"/>
        <v>0.25279654167296017</v>
      </c>
      <c r="R69" s="493">
        <f>SUM(Q$13:Q69)</f>
        <v>10.930786378495798</v>
      </c>
      <c r="S69" s="494">
        <f t="shared" si="29"/>
        <v>0.55136375175262542</v>
      </c>
      <c r="T69" s="494"/>
      <c r="U69" s="494"/>
      <c r="V69" s="494"/>
      <c r="W69" s="494"/>
      <c r="X69" s="494"/>
      <c r="Y69" s="494"/>
      <c r="Z69" s="494">
        <f t="shared" si="21"/>
        <v>0</v>
      </c>
      <c r="AA69" s="494">
        <f t="shared" si="24"/>
        <v>0.77189783716934413</v>
      </c>
      <c r="AB69" s="494"/>
      <c r="AC69" s="494"/>
      <c r="AD69" s="505"/>
    </row>
    <row r="70" spans="1:30" x14ac:dyDescent="0.2">
      <c r="A70" s="499">
        <v>750</v>
      </c>
      <c r="B70" s="483">
        <v>0</v>
      </c>
      <c r="C70" s="471">
        <v>2024</v>
      </c>
      <c r="D70" s="528">
        <v>41.5</v>
      </c>
      <c r="E70" s="529"/>
      <c r="F70" s="530"/>
      <c r="G70" s="531">
        <f t="shared" si="25"/>
        <v>41.5</v>
      </c>
      <c r="H70" s="529">
        <v>5.7</v>
      </c>
      <c r="I70" s="529"/>
      <c r="J70" s="529"/>
      <c r="K70" s="529"/>
      <c r="L70" s="532">
        <f t="shared" ref="L70:L80" si="30">AVERAGE(H70:K70)</f>
        <v>5.7</v>
      </c>
      <c r="M70" s="471">
        <f t="shared" ref="M70:M80" si="31">G70*    PI()* (L70/2)^2</f>
        <v>1058.9798326444986</v>
      </c>
      <c r="N70" s="489">
        <f t="shared" si="22"/>
        <v>1982.5</v>
      </c>
      <c r="O70" s="490">
        <f t="shared" si="19"/>
        <v>2024.25</v>
      </c>
      <c r="P70" s="491">
        <f t="shared" ref="P70:P79" si="32">(A70-B70)/M70</f>
        <v>0.7082287847985641</v>
      </c>
      <c r="Q70" s="492">
        <f t="shared" si="20"/>
        <v>0.29568551765340051</v>
      </c>
      <c r="R70" s="493">
        <f>SUM(Q$13:Q70)</f>
        <v>11.226471896149198</v>
      </c>
      <c r="S70" s="494">
        <f t="shared" ref="S70:S79" si="33">R70/O70*100</f>
        <v>0.55459908095092991</v>
      </c>
      <c r="T70" s="494">
        <v>36</v>
      </c>
      <c r="U70" s="494">
        <v>0.5</v>
      </c>
      <c r="V70" s="494">
        <v>51</v>
      </c>
      <c r="W70" s="494">
        <v>0.5</v>
      </c>
      <c r="X70" s="494"/>
      <c r="Y70" s="494"/>
      <c r="Z70" s="494">
        <f t="shared" ref="Z70:Z80" si="34">(U70+W70+Y70)*    PI()* (L70/2)^2</f>
        <v>25.517586328783096</v>
      </c>
      <c r="AA70" s="494">
        <f t="shared" ref="AA70:AA80" si="35">(A70-(Z70/0.9))/(M70-Z70)</f>
        <v>0.69828107303776055</v>
      </c>
      <c r="AB70" s="494"/>
      <c r="AC70" s="494"/>
      <c r="AD70" s="505"/>
    </row>
    <row r="71" spans="1:30" x14ac:dyDescent="0.2">
      <c r="A71" s="499">
        <v>685</v>
      </c>
      <c r="B71" s="483">
        <v>0</v>
      </c>
      <c r="C71" s="471">
        <f>C72-D72</f>
        <v>2055</v>
      </c>
      <c r="D71" s="528">
        <v>30.5</v>
      </c>
      <c r="E71" s="529"/>
      <c r="F71" s="530"/>
      <c r="G71" s="531">
        <f t="shared" si="25"/>
        <v>30.5</v>
      </c>
      <c r="H71" s="529">
        <v>5.7</v>
      </c>
      <c r="I71" s="529"/>
      <c r="J71" s="529"/>
      <c r="K71" s="529"/>
      <c r="L71" s="532">
        <f t="shared" si="30"/>
        <v>5.7</v>
      </c>
      <c r="M71" s="471">
        <f t="shared" si="31"/>
        <v>778.28638302788443</v>
      </c>
      <c r="N71" s="489">
        <f t="shared" si="22"/>
        <v>2024.25</v>
      </c>
      <c r="O71" s="490">
        <f t="shared" si="19"/>
        <v>2055</v>
      </c>
      <c r="P71" s="491">
        <f t="shared" si="32"/>
        <v>0.88013874447480578</v>
      </c>
      <c r="Q71" s="492">
        <f t="shared" si="20"/>
        <v>0.27064266392600278</v>
      </c>
      <c r="R71" s="493">
        <f>SUM(Q$13:Q71)</f>
        <v>11.4971145600752</v>
      </c>
      <c r="S71" s="494">
        <f t="shared" si="33"/>
        <v>0.55947029489417033</v>
      </c>
      <c r="T71" s="494"/>
      <c r="U71" s="494"/>
      <c r="V71" s="494"/>
      <c r="W71" s="494"/>
      <c r="X71" s="494"/>
      <c r="Y71" s="494"/>
      <c r="Z71" s="494">
        <f t="shared" si="34"/>
        <v>0</v>
      </c>
      <c r="AA71" s="494">
        <f t="shared" si="35"/>
        <v>0.88013874447480578</v>
      </c>
      <c r="AB71" s="494"/>
      <c r="AC71" s="494"/>
      <c r="AD71" s="505"/>
    </row>
    <row r="72" spans="1:30" x14ac:dyDescent="0.2">
      <c r="A72" s="499">
        <v>600</v>
      </c>
      <c r="B72" s="483">
        <v>0</v>
      </c>
      <c r="C72" s="471">
        <v>2084</v>
      </c>
      <c r="D72" s="528">
        <v>29</v>
      </c>
      <c r="E72" s="529"/>
      <c r="F72" s="530"/>
      <c r="G72" s="531">
        <f t="shared" si="25"/>
        <v>29</v>
      </c>
      <c r="H72" s="529">
        <v>5.7</v>
      </c>
      <c r="I72" s="529"/>
      <c r="J72" s="529"/>
      <c r="K72" s="529"/>
      <c r="L72" s="532">
        <f t="shared" si="30"/>
        <v>5.7</v>
      </c>
      <c r="M72" s="471">
        <f t="shared" si="31"/>
        <v>740.01000353470977</v>
      </c>
      <c r="N72" s="489">
        <f t="shared" si="22"/>
        <v>2055</v>
      </c>
      <c r="O72" s="490">
        <f t="shared" si="19"/>
        <v>2084</v>
      </c>
      <c r="P72" s="491">
        <f t="shared" si="32"/>
        <v>0.81079985018318379</v>
      </c>
      <c r="Q72" s="492">
        <f t="shared" si="20"/>
        <v>0.2351319565531233</v>
      </c>
      <c r="R72" s="493">
        <f>SUM(Q$13:Q72)</f>
        <v>11.732246516628324</v>
      </c>
      <c r="S72" s="494">
        <f t="shared" si="33"/>
        <v>0.56296768313955492</v>
      </c>
      <c r="T72" s="494">
        <v>0</v>
      </c>
      <c r="U72" s="494">
        <v>1</v>
      </c>
      <c r="V72" s="494">
        <v>55</v>
      </c>
      <c r="W72" s="494">
        <v>0.5</v>
      </c>
      <c r="X72" s="494"/>
      <c r="Y72" s="494"/>
      <c r="Z72" s="494">
        <f t="shared" si="34"/>
        <v>38.276379493174645</v>
      </c>
      <c r="AA72" s="494">
        <f t="shared" si="35"/>
        <v>0.79441923595075148</v>
      </c>
      <c r="AB72" s="494"/>
      <c r="AC72" s="494"/>
      <c r="AD72" s="505"/>
    </row>
    <row r="73" spans="1:30" x14ac:dyDescent="0.2">
      <c r="A73" s="499">
        <v>730</v>
      </c>
      <c r="B73" s="483">
        <v>0</v>
      </c>
      <c r="C73" s="471">
        <f>C74-D74</f>
        <v>2120</v>
      </c>
      <c r="D73" s="528">
        <v>36</v>
      </c>
      <c r="E73" s="529"/>
      <c r="F73" s="530"/>
      <c r="G73" s="531">
        <f t="shared" si="25"/>
        <v>36</v>
      </c>
      <c r="H73" s="529">
        <v>5.7</v>
      </c>
      <c r="I73" s="529"/>
      <c r="J73" s="529"/>
      <c r="K73" s="529"/>
      <c r="L73" s="532">
        <f t="shared" si="30"/>
        <v>5.7</v>
      </c>
      <c r="M73" s="471">
        <f t="shared" si="31"/>
        <v>918.63310783619147</v>
      </c>
      <c r="N73" s="489">
        <f t="shared" si="22"/>
        <v>2084</v>
      </c>
      <c r="O73" s="490">
        <f t="shared" si="19"/>
        <v>2120</v>
      </c>
      <c r="P73" s="491">
        <f t="shared" si="32"/>
        <v>0.7946589272397222</v>
      </c>
      <c r="Q73" s="492">
        <f t="shared" si="20"/>
        <v>0.28607721380630002</v>
      </c>
      <c r="R73" s="493">
        <f>SUM(Q$13:Q73)</f>
        <v>12.018323730434624</v>
      </c>
      <c r="S73" s="494">
        <f t="shared" si="33"/>
        <v>0.56690206275635013</v>
      </c>
      <c r="T73" s="494"/>
      <c r="U73" s="494"/>
      <c r="V73" s="494"/>
      <c r="W73" s="494"/>
      <c r="X73" s="494"/>
      <c r="Y73" s="494"/>
      <c r="Z73" s="494">
        <f t="shared" si="34"/>
        <v>0</v>
      </c>
      <c r="AA73" s="494">
        <f t="shared" si="35"/>
        <v>0.7946589272397222</v>
      </c>
      <c r="AB73" s="494"/>
      <c r="AC73" s="494"/>
      <c r="AD73" s="505"/>
    </row>
    <row r="74" spans="1:30" x14ac:dyDescent="0.2">
      <c r="A74" s="499">
        <v>600</v>
      </c>
      <c r="B74" s="483">
        <v>0</v>
      </c>
      <c r="C74" s="471">
        <v>2149</v>
      </c>
      <c r="D74" s="528">
        <v>29</v>
      </c>
      <c r="E74" s="529"/>
      <c r="F74" s="530"/>
      <c r="G74" s="531">
        <f t="shared" si="25"/>
        <v>29</v>
      </c>
      <c r="H74" s="529">
        <v>5.7</v>
      </c>
      <c r="I74" s="529"/>
      <c r="J74" s="529"/>
      <c r="K74" s="529"/>
      <c r="L74" s="532">
        <f t="shared" si="30"/>
        <v>5.7</v>
      </c>
      <c r="M74" s="471">
        <f t="shared" si="31"/>
        <v>740.01000353470977</v>
      </c>
      <c r="N74" s="489">
        <f t="shared" si="22"/>
        <v>2120</v>
      </c>
      <c r="O74" s="490">
        <f t="shared" si="19"/>
        <v>2148</v>
      </c>
      <c r="P74" s="491">
        <f t="shared" si="32"/>
        <v>0.81079985018318379</v>
      </c>
      <c r="Q74" s="492">
        <f t="shared" si="20"/>
        <v>0.22702395805129147</v>
      </c>
      <c r="R74" s="493">
        <f>SUM(Q$13:Q74)</f>
        <v>12.245347688485914</v>
      </c>
      <c r="S74" s="494">
        <f t="shared" si="33"/>
        <v>0.57008136352355276</v>
      </c>
      <c r="T74" s="494"/>
      <c r="U74" s="494"/>
      <c r="V74" s="494"/>
      <c r="W74" s="494"/>
      <c r="X74" s="494"/>
      <c r="Y74" s="494"/>
      <c r="Z74" s="494">
        <f t="shared" si="34"/>
        <v>0</v>
      </c>
      <c r="AA74" s="494">
        <f t="shared" si="35"/>
        <v>0.81079985018318379</v>
      </c>
      <c r="AB74" s="494"/>
      <c r="AC74" s="494"/>
      <c r="AD74" s="505"/>
    </row>
    <row r="75" spans="1:30" x14ac:dyDescent="0.2">
      <c r="A75" s="499">
        <v>610</v>
      </c>
      <c r="B75" s="483">
        <v>0</v>
      </c>
      <c r="C75" s="471">
        <f>C76-D76</f>
        <v>2174</v>
      </c>
      <c r="D75" s="528">
        <v>27</v>
      </c>
      <c r="E75" s="529"/>
      <c r="F75" s="530"/>
      <c r="G75" s="531">
        <f t="shared" si="25"/>
        <v>27</v>
      </c>
      <c r="H75" s="529">
        <v>5.7</v>
      </c>
      <c r="I75" s="529"/>
      <c r="J75" s="529"/>
      <c r="K75" s="529"/>
      <c r="L75" s="532">
        <f t="shared" si="30"/>
        <v>5.7</v>
      </c>
      <c r="M75" s="471">
        <f t="shared" si="31"/>
        <v>688.97483087714352</v>
      </c>
      <c r="N75" s="489">
        <f t="shared" si="22"/>
        <v>2148</v>
      </c>
      <c r="O75" s="490">
        <f t="shared" si="19"/>
        <v>2174</v>
      </c>
      <c r="P75" s="491">
        <f t="shared" si="32"/>
        <v>0.8853734166506495</v>
      </c>
      <c r="Q75" s="492">
        <f t="shared" si="20"/>
        <v>0.23019708832916888</v>
      </c>
      <c r="R75" s="493">
        <f>SUM(Q$13:Q75)</f>
        <v>12.475544776815083</v>
      </c>
      <c r="S75" s="494">
        <f t="shared" si="33"/>
        <v>0.57385210564926781</v>
      </c>
      <c r="T75" s="494"/>
      <c r="U75" s="494"/>
      <c r="V75" s="494"/>
      <c r="W75" s="494"/>
      <c r="X75" s="494"/>
      <c r="Y75" s="494"/>
      <c r="Z75" s="494">
        <f t="shared" si="34"/>
        <v>0</v>
      </c>
      <c r="AA75" s="494">
        <f t="shared" si="35"/>
        <v>0.8853734166506495</v>
      </c>
      <c r="AB75" s="494"/>
      <c r="AC75" s="494"/>
      <c r="AD75" s="505"/>
    </row>
    <row r="76" spans="1:30" x14ac:dyDescent="0.2">
      <c r="A76" s="499">
        <v>690</v>
      </c>
      <c r="B76" s="483">
        <v>0</v>
      </c>
      <c r="C76" s="471">
        <v>2207</v>
      </c>
      <c r="D76" s="528">
        <v>33</v>
      </c>
      <c r="E76" s="529"/>
      <c r="F76" s="530"/>
      <c r="G76" s="531">
        <f t="shared" si="25"/>
        <v>33</v>
      </c>
      <c r="H76" s="529">
        <v>5.7</v>
      </c>
      <c r="I76" s="529"/>
      <c r="J76" s="529"/>
      <c r="K76" s="529"/>
      <c r="L76" s="532">
        <f t="shared" si="30"/>
        <v>5.7</v>
      </c>
      <c r="M76" s="471">
        <f t="shared" si="31"/>
        <v>842.08034884984215</v>
      </c>
      <c r="N76" s="489">
        <f t="shared" si="22"/>
        <v>2174</v>
      </c>
      <c r="O76" s="490">
        <f t="shared" si="19"/>
        <v>2207.75</v>
      </c>
      <c r="P76" s="491">
        <f t="shared" si="32"/>
        <v>0.81939924253361152</v>
      </c>
      <c r="Q76" s="492">
        <f t="shared" si="20"/>
        <v>0.27654724435509392</v>
      </c>
      <c r="R76" s="493">
        <f>SUM(Q$13:Q76)</f>
        <v>12.752092021170176</v>
      </c>
      <c r="S76" s="494">
        <f t="shared" si="33"/>
        <v>0.57760579871680107</v>
      </c>
      <c r="T76" s="494">
        <v>14</v>
      </c>
      <c r="U76" s="494">
        <v>6</v>
      </c>
      <c r="V76" s="494">
        <v>35</v>
      </c>
      <c r="W76" s="494">
        <v>2</v>
      </c>
      <c r="X76" s="494"/>
      <c r="Y76" s="494"/>
      <c r="Z76" s="494">
        <f t="shared" si="34"/>
        <v>204.14069063026477</v>
      </c>
      <c r="AA76" s="494">
        <f t="shared" si="35"/>
        <v>0.72605144458881166</v>
      </c>
      <c r="AB76" s="494"/>
      <c r="AC76" s="494"/>
      <c r="AD76" s="505"/>
    </row>
    <row r="77" spans="1:30" x14ac:dyDescent="0.2">
      <c r="A77" s="499">
        <v>660</v>
      </c>
      <c r="B77" s="483">
        <v>0</v>
      </c>
      <c r="C77" s="471">
        <f>C78-D78</f>
        <v>2242.5</v>
      </c>
      <c r="D77" s="528">
        <v>34</v>
      </c>
      <c r="E77" s="529"/>
      <c r="F77" s="530"/>
      <c r="G77" s="531">
        <f t="shared" si="25"/>
        <v>34</v>
      </c>
      <c r="H77" s="529">
        <v>5.7</v>
      </c>
      <c r="I77" s="529"/>
      <c r="J77" s="529"/>
      <c r="K77" s="529"/>
      <c r="L77" s="532">
        <f t="shared" si="30"/>
        <v>5.7</v>
      </c>
      <c r="M77" s="471">
        <f t="shared" si="31"/>
        <v>867.59793517862533</v>
      </c>
      <c r="N77" s="489">
        <f t="shared" si="22"/>
        <v>2207.75</v>
      </c>
      <c r="O77" s="490">
        <f t="shared" si="19"/>
        <v>2242.5</v>
      </c>
      <c r="P77" s="491">
        <f t="shared" si="32"/>
        <v>0.76072103590716356</v>
      </c>
      <c r="Q77" s="492">
        <f t="shared" si="20"/>
        <v>0.26435055997773932</v>
      </c>
      <c r="R77" s="493">
        <f>SUM(Q$13:Q77)</f>
        <v>13.016442581147915</v>
      </c>
      <c r="S77" s="494">
        <f t="shared" si="33"/>
        <v>0.58044337039678551</v>
      </c>
      <c r="T77" s="494"/>
      <c r="U77" s="494"/>
      <c r="V77" s="494"/>
      <c r="W77" s="494"/>
      <c r="X77" s="494"/>
      <c r="Y77" s="494"/>
      <c r="Z77" s="494">
        <f t="shared" si="34"/>
        <v>0</v>
      </c>
      <c r="AA77" s="494">
        <f t="shared" si="35"/>
        <v>0.76072103590716356</v>
      </c>
      <c r="AB77" s="494"/>
      <c r="AC77" s="494"/>
      <c r="AD77" s="505"/>
    </row>
    <row r="78" spans="1:30" x14ac:dyDescent="0.2">
      <c r="A78" s="499">
        <v>615</v>
      </c>
      <c r="B78" s="483">
        <v>0</v>
      </c>
      <c r="C78" s="471">
        <v>2274</v>
      </c>
      <c r="D78" s="528">
        <v>31.5</v>
      </c>
      <c r="E78" s="529"/>
      <c r="F78" s="530"/>
      <c r="G78" s="531">
        <f t="shared" si="25"/>
        <v>31.5</v>
      </c>
      <c r="H78" s="529">
        <v>5.7</v>
      </c>
      <c r="I78" s="529"/>
      <c r="J78" s="529"/>
      <c r="K78" s="529"/>
      <c r="L78" s="532">
        <f t="shared" si="30"/>
        <v>5.7</v>
      </c>
      <c r="M78" s="471">
        <f t="shared" si="31"/>
        <v>803.80396935666761</v>
      </c>
      <c r="N78" s="489">
        <f t="shared" si="22"/>
        <v>2242.5</v>
      </c>
      <c r="O78" s="490">
        <f t="shared" si="19"/>
        <v>2274.5</v>
      </c>
      <c r="P78" s="491">
        <f t="shared" si="32"/>
        <v>0.76511192211730594</v>
      </c>
      <c r="Q78" s="492">
        <f t="shared" si="20"/>
        <v>0.2448358150775379</v>
      </c>
      <c r="R78" s="493">
        <f>SUM(Q$13:Q78)</f>
        <v>13.261278396225453</v>
      </c>
      <c r="S78" s="494">
        <f t="shared" si="33"/>
        <v>0.5830414770817961</v>
      </c>
      <c r="T78" s="494">
        <v>37</v>
      </c>
      <c r="U78" s="494">
        <v>0.5</v>
      </c>
      <c r="V78" s="494"/>
      <c r="W78" s="494"/>
      <c r="X78" s="494"/>
      <c r="Y78" s="494"/>
      <c r="Z78" s="494">
        <f t="shared" si="34"/>
        <v>12.758793164391548</v>
      </c>
      <c r="AA78" s="494">
        <f t="shared" si="35"/>
        <v>0.75953129003676068</v>
      </c>
      <c r="AB78" s="494"/>
      <c r="AC78" s="494"/>
      <c r="AD78" s="505"/>
    </row>
    <row r="79" spans="1:30" x14ac:dyDescent="0.2">
      <c r="A79" s="499">
        <v>685</v>
      </c>
      <c r="B79" s="483">
        <v>0</v>
      </c>
      <c r="C79" s="471">
        <f>C80-D80</f>
        <v>2310</v>
      </c>
      <c r="D79" s="528">
        <v>35</v>
      </c>
      <c r="E79" s="529"/>
      <c r="F79" s="530"/>
      <c r="G79" s="531">
        <f t="shared" si="25"/>
        <v>35</v>
      </c>
      <c r="H79" s="529">
        <v>5.7</v>
      </c>
      <c r="I79" s="529"/>
      <c r="J79" s="529"/>
      <c r="K79" s="529"/>
      <c r="L79" s="532">
        <f t="shared" si="30"/>
        <v>5.7</v>
      </c>
      <c r="M79" s="471">
        <f t="shared" si="31"/>
        <v>893.11552150740829</v>
      </c>
      <c r="N79" s="489">
        <f t="shared" si="22"/>
        <v>2274.5</v>
      </c>
      <c r="O79" s="490">
        <f t="shared" si="19"/>
        <v>2310</v>
      </c>
      <c r="P79" s="491">
        <f t="shared" si="32"/>
        <v>0.76697804875661657</v>
      </c>
      <c r="Q79" s="492">
        <f t="shared" si="20"/>
        <v>0.27227720730859889</v>
      </c>
      <c r="R79" s="493">
        <f>SUM(Q$13:Q79)</f>
        <v>13.533555603534053</v>
      </c>
      <c r="S79" s="494">
        <f t="shared" si="33"/>
        <v>0.58586820794519712</v>
      </c>
      <c r="T79" s="494"/>
      <c r="U79" s="494"/>
      <c r="V79" s="494"/>
      <c r="W79" s="494"/>
      <c r="X79" s="494"/>
      <c r="Y79" s="494"/>
      <c r="Z79" s="494">
        <f t="shared" si="34"/>
        <v>0</v>
      </c>
      <c r="AA79" s="494">
        <f t="shared" si="35"/>
        <v>0.76697804875661657</v>
      </c>
      <c r="AB79" s="494"/>
      <c r="AC79" s="494"/>
      <c r="AD79" s="505"/>
    </row>
    <row r="80" spans="1:30" x14ac:dyDescent="0.2">
      <c r="A80" s="499">
        <v>580</v>
      </c>
      <c r="B80" s="483">
        <v>0</v>
      </c>
      <c r="C80" s="471">
        <v>2340</v>
      </c>
      <c r="D80" s="528">
        <v>30</v>
      </c>
      <c r="E80" s="529"/>
      <c r="F80" s="530"/>
      <c r="G80" s="531">
        <f t="shared" si="25"/>
        <v>30</v>
      </c>
      <c r="H80" s="529">
        <v>5.7</v>
      </c>
      <c r="I80" s="529"/>
      <c r="J80" s="529"/>
      <c r="K80" s="529"/>
      <c r="L80" s="532">
        <f t="shared" si="30"/>
        <v>5.7</v>
      </c>
      <c r="M80" s="471">
        <f t="shared" si="31"/>
        <v>765.52758986349284</v>
      </c>
      <c r="N80" s="489">
        <f t="shared" si="22"/>
        <v>2310</v>
      </c>
      <c r="O80" s="490">
        <f>C80</f>
        <v>2340</v>
      </c>
      <c r="P80" s="491">
        <f>(A80-B80)/M80</f>
        <v>0.75764741556006399</v>
      </c>
      <c r="Q80" s="492">
        <f t="shared" si="20"/>
        <v>0.22729422466801921</v>
      </c>
      <c r="R80" s="493">
        <f>SUM(Q$13:Q80)</f>
        <v>13.760849828202073</v>
      </c>
      <c r="S80" s="494">
        <f>R80/O80*100</f>
        <v>0.58807050547872108</v>
      </c>
      <c r="T80" s="494">
        <v>30</v>
      </c>
      <c r="U80" s="494">
        <v>0.5</v>
      </c>
      <c r="V80" s="494"/>
      <c r="W80" s="494"/>
      <c r="X80" s="494"/>
      <c r="Y80" s="494"/>
      <c r="Z80" s="494">
        <f t="shared" si="34"/>
        <v>12.758793164391548</v>
      </c>
      <c r="AA80" s="494">
        <f t="shared" si="35"/>
        <v>0.75165650546597851</v>
      </c>
      <c r="AB80" s="494"/>
      <c r="AC80" s="494"/>
      <c r="AD80" s="505"/>
    </row>
    <row r="81" spans="1:30" x14ac:dyDescent="0.2">
      <c r="A81" s="546" t="s">
        <v>155</v>
      </c>
      <c r="B81" s="547"/>
      <c r="C81" s="548"/>
      <c r="D81" s="548"/>
      <c r="E81" s="548"/>
      <c r="F81" s="548"/>
      <c r="G81" s="549"/>
      <c r="H81" s="548"/>
      <c r="I81" s="548"/>
      <c r="J81" s="548"/>
      <c r="K81" s="548"/>
      <c r="L81" s="550"/>
      <c r="M81" s="548"/>
      <c r="N81" s="551"/>
      <c r="O81" s="552"/>
      <c r="P81" s="553"/>
      <c r="Q81" s="554"/>
      <c r="R81" s="555"/>
      <c r="S81" s="556"/>
      <c r="T81" s="556"/>
      <c r="U81" s="556"/>
      <c r="V81" s="556"/>
      <c r="W81" s="556"/>
      <c r="X81" s="556"/>
      <c r="Y81" s="556"/>
      <c r="Z81" s="556"/>
      <c r="AA81" s="556"/>
      <c r="AB81" s="556"/>
      <c r="AC81" s="556"/>
      <c r="AD81" s="557"/>
    </row>
    <row r="82" spans="1:30" x14ac:dyDescent="0.2">
      <c r="A82" s="558"/>
      <c r="B82" s="559"/>
      <c r="C82" s="560"/>
      <c r="D82" s="560"/>
      <c r="E82" s="560"/>
      <c r="F82" s="560"/>
      <c r="G82" s="561"/>
      <c r="H82" s="560"/>
      <c r="I82" s="560"/>
      <c r="J82" s="560"/>
      <c r="K82" s="560"/>
      <c r="L82" s="562"/>
      <c r="M82" s="560"/>
      <c r="N82" s="563"/>
      <c r="O82" s="564"/>
      <c r="P82" s="565"/>
      <c r="Q82" s="566"/>
      <c r="R82" s="567"/>
      <c r="S82" s="568"/>
      <c r="T82" s="568"/>
      <c r="U82" s="568"/>
      <c r="V82" s="568"/>
      <c r="W82" s="568"/>
      <c r="X82" s="568"/>
      <c r="Y82" s="568"/>
      <c r="Z82" s="568"/>
      <c r="AA82" s="568"/>
      <c r="AB82" s="568"/>
      <c r="AC82" s="568"/>
      <c r="AD82" s="569"/>
    </row>
    <row r="83" spans="1:30" ht="10.8" thickBot="1" x14ac:dyDescent="0.25">
      <c r="A83" s="570"/>
      <c r="B83" s="571"/>
      <c r="C83" s="572"/>
      <c r="D83" s="572"/>
      <c r="E83" s="572"/>
      <c r="F83" s="572"/>
      <c r="G83" s="573"/>
      <c r="H83" s="572"/>
      <c r="I83" s="572"/>
      <c r="J83" s="572"/>
      <c r="K83" s="572"/>
      <c r="L83" s="574"/>
      <c r="M83" s="572"/>
      <c r="N83" s="575"/>
      <c r="O83" s="576"/>
      <c r="P83" s="577"/>
      <c r="Q83" s="578"/>
      <c r="R83" s="579"/>
      <c r="S83" s="580"/>
      <c r="T83" s="580"/>
      <c r="U83" s="580"/>
      <c r="V83" s="580"/>
      <c r="W83" s="580"/>
      <c r="X83" s="580"/>
      <c r="Y83" s="580"/>
      <c r="Z83" s="580"/>
      <c r="AA83" s="580"/>
      <c r="AB83" s="580"/>
      <c r="AC83" s="580"/>
      <c r="AD83" s="581"/>
    </row>
    <row r="84" spans="1:30" x14ac:dyDescent="0.2">
      <c r="A84" s="584"/>
      <c r="B84" s="584"/>
      <c r="C84" s="585"/>
      <c r="D84" s="586"/>
      <c r="E84" s="586"/>
      <c r="F84" s="586"/>
      <c r="G84" s="587"/>
      <c r="H84" s="588"/>
      <c r="I84" s="589"/>
      <c r="J84" s="590"/>
      <c r="K84" s="591"/>
      <c r="L84" s="592"/>
      <c r="M84" s="545"/>
      <c r="O84" s="533"/>
      <c r="P84" s="593"/>
    </row>
    <row r="85" spans="1:30" x14ac:dyDescent="0.2">
      <c r="A85" s="545"/>
      <c r="B85" s="545"/>
      <c r="C85" s="594"/>
      <c r="D85" s="594"/>
      <c r="E85" s="594"/>
      <c r="F85" s="594"/>
      <c r="G85" s="589"/>
      <c r="H85" s="588"/>
      <c r="I85" s="589"/>
      <c r="J85" s="590"/>
      <c r="K85" s="595"/>
      <c r="L85" s="592"/>
      <c r="M85" s="545"/>
      <c r="O85" s="533"/>
      <c r="P85" s="593"/>
    </row>
    <row r="86" spans="1:30" x14ac:dyDescent="0.2">
      <c r="A86" s="596"/>
      <c r="B86" s="596"/>
      <c r="C86" s="596"/>
      <c r="D86" s="596"/>
      <c r="E86" s="590"/>
      <c r="F86" s="597"/>
      <c r="G86" s="545"/>
      <c r="H86" s="533"/>
      <c r="I86" s="545"/>
      <c r="J86" s="533"/>
      <c r="K86" s="533"/>
      <c r="L86" s="545"/>
      <c r="M86" s="545"/>
      <c r="O86" s="533"/>
      <c r="P86" s="593"/>
    </row>
    <row r="87" spans="1:30" x14ac:dyDescent="0.2">
      <c r="A87" s="598"/>
      <c r="B87" s="598"/>
      <c r="C87" s="596"/>
      <c r="D87" s="596"/>
      <c r="E87" s="590"/>
      <c r="F87" s="597"/>
      <c r="G87" s="533"/>
      <c r="H87" s="533"/>
      <c r="I87" s="545"/>
      <c r="J87" s="533"/>
      <c r="K87" s="533"/>
      <c r="L87" s="545"/>
      <c r="M87" s="545"/>
      <c r="O87" s="533"/>
      <c r="P87" s="593"/>
    </row>
    <row r="88" spans="1:30" x14ac:dyDescent="0.2">
      <c r="A88" s="442"/>
      <c r="B88" s="442"/>
      <c r="C88" s="596"/>
      <c r="D88" s="596"/>
      <c r="E88" s="590"/>
      <c r="F88" s="597"/>
      <c r="G88" s="533"/>
      <c r="H88" s="533"/>
      <c r="I88" s="545"/>
      <c r="J88" s="533"/>
      <c r="K88" s="533"/>
      <c r="L88" s="545"/>
      <c r="M88" s="545"/>
      <c r="O88" s="533"/>
      <c r="P88" s="593"/>
    </row>
    <row r="89" spans="1:30" x14ac:dyDescent="0.2">
      <c r="A89" s="596"/>
      <c r="B89" s="596"/>
      <c r="C89" s="596"/>
      <c r="D89" s="596"/>
      <c r="E89" s="590"/>
      <c r="F89" s="597"/>
      <c r="G89" s="533"/>
      <c r="H89" s="533"/>
      <c r="I89" s="545"/>
      <c r="J89" s="533"/>
      <c r="K89" s="533"/>
      <c r="L89" s="545"/>
      <c r="M89" s="545"/>
      <c r="O89" s="533"/>
      <c r="P89" s="593"/>
    </row>
    <row r="90" spans="1:30" s="596" customFormat="1" x14ac:dyDescent="0.2">
      <c r="E90" s="590"/>
      <c r="F90" s="597"/>
      <c r="G90" s="533"/>
      <c r="H90" s="533"/>
      <c r="I90" s="545"/>
      <c r="J90" s="589"/>
      <c r="K90" s="533"/>
      <c r="L90" s="545"/>
      <c r="M90" s="545"/>
      <c r="N90" s="533"/>
      <c r="O90" s="533"/>
      <c r="P90" s="593"/>
      <c r="Q90" s="593"/>
      <c r="R90" s="593"/>
      <c r="S90" s="593"/>
      <c r="T90" s="593"/>
      <c r="U90" s="593"/>
      <c r="V90" s="593"/>
      <c r="W90" s="593"/>
      <c r="X90" s="593"/>
      <c r="Y90" s="593"/>
      <c r="Z90" s="593"/>
      <c r="AA90" s="593"/>
      <c r="AB90" s="593"/>
      <c r="AC90" s="593"/>
      <c r="AD90" s="533"/>
    </row>
    <row r="91" spans="1:30" s="596" customFormat="1" x14ac:dyDescent="0.2">
      <c r="E91" s="590"/>
      <c r="F91" s="597"/>
      <c r="G91" s="533"/>
      <c r="H91" s="533"/>
      <c r="I91" s="545"/>
      <c r="J91" s="589"/>
      <c r="K91" s="533"/>
      <c r="L91" s="545"/>
      <c r="M91" s="545"/>
      <c r="N91" s="533"/>
      <c r="O91" s="533"/>
      <c r="P91" s="593"/>
      <c r="Q91" s="593"/>
      <c r="R91" s="593"/>
      <c r="S91" s="593"/>
      <c r="T91" s="593"/>
      <c r="U91" s="593"/>
      <c r="V91" s="593"/>
      <c r="W91" s="593"/>
      <c r="X91" s="593"/>
      <c r="Y91" s="593"/>
      <c r="Z91" s="593"/>
      <c r="AA91" s="593"/>
      <c r="AB91" s="593"/>
      <c r="AC91" s="593"/>
      <c r="AD91" s="533"/>
    </row>
    <row r="92" spans="1:30" s="596" customFormat="1" x14ac:dyDescent="0.2">
      <c r="E92" s="590"/>
      <c r="F92" s="597"/>
      <c r="G92" s="533"/>
      <c r="H92" s="533"/>
      <c r="I92" s="545"/>
      <c r="J92" s="533"/>
      <c r="K92" s="533"/>
      <c r="L92" s="545"/>
      <c r="M92" s="545"/>
      <c r="N92" s="533"/>
      <c r="O92" s="533"/>
      <c r="P92" s="593"/>
      <c r="Q92" s="593"/>
      <c r="R92" s="593"/>
      <c r="S92" s="593"/>
      <c r="T92" s="593"/>
      <c r="U92" s="593"/>
      <c r="V92" s="593"/>
      <c r="W92" s="593"/>
      <c r="X92" s="593"/>
      <c r="Y92" s="593"/>
      <c r="Z92" s="593"/>
      <c r="AA92" s="593"/>
      <c r="AB92" s="593"/>
      <c r="AC92" s="593"/>
      <c r="AD92" s="533"/>
    </row>
    <row r="93" spans="1:30" s="596" customFormat="1" x14ac:dyDescent="0.2">
      <c r="E93" s="590"/>
      <c r="F93" s="597"/>
      <c r="G93" s="533"/>
      <c r="H93" s="533"/>
      <c r="I93" s="545"/>
      <c r="J93" s="533"/>
      <c r="K93" s="533"/>
      <c r="L93" s="545"/>
      <c r="M93" s="545"/>
      <c r="N93" s="533"/>
      <c r="O93" s="533"/>
      <c r="P93" s="593"/>
      <c r="Q93" s="593"/>
      <c r="R93" s="593"/>
      <c r="S93" s="593"/>
      <c r="T93" s="593"/>
      <c r="U93" s="593"/>
      <c r="V93" s="593"/>
      <c r="W93" s="593"/>
      <c r="X93" s="593"/>
      <c r="Y93" s="593"/>
      <c r="Z93" s="593"/>
      <c r="AA93" s="593"/>
      <c r="AB93" s="593"/>
      <c r="AC93" s="593"/>
      <c r="AD93" s="533"/>
    </row>
    <row r="94" spans="1:30" s="596" customFormat="1" x14ac:dyDescent="0.2">
      <c r="E94" s="590"/>
      <c r="F94" s="597"/>
      <c r="G94" s="533"/>
      <c r="H94" s="533"/>
      <c r="I94" s="545"/>
      <c r="J94" s="533"/>
      <c r="K94" s="533"/>
      <c r="L94" s="545"/>
      <c r="M94" s="545"/>
      <c r="N94" s="533"/>
      <c r="O94" s="533"/>
      <c r="P94" s="593"/>
      <c r="Q94" s="593"/>
      <c r="R94" s="593"/>
      <c r="S94" s="593"/>
      <c r="T94" s="593"/>
      <c r="U94" s="593"/>
      <c r="V94" s="593"/>
      <c r="W94" s="593"/>
      <c r="X94" s="593"/>
      <c r="Y94" s="593"/>
      <c r="Z94" s="593"/>
      <c r="AA94" s="593"/>
      <c r="AB94" s="593"/>
      <c r="AC94" s="593"/>
      <c r="AD94" s="533"/>
    </row>
    <row r="95" spans="1:30" s="596" customFormat="1" x14ac:dyDescent="0.2">
      <c r="E95" s="590"/>
      <c r="F95" s="597"/>
      <c r="G95" s="533"/>
      <c r="H95" s="533"/>
      <c r="I95" s="545"/>
      <c r="J95" s="533"/>
      <c r="K95" s="533"/>
      <c r="L95" s="545"/>
      <c r="M95" s="545"/>
      <c r="N95" s="533"/>
      <c r="O95" s="533"/>
      <c r="P95" s="593"/>
      <c r="Q95" s="593"/>
      <c r="R95" s="593"/>
      <c r="S95" s="593"/>
      <c r="T95" s="593"/>
      <c r="U95" s="593"/>
      <c r="V95" s="593"/>
      <c r="W95" s="593"/>
      <c r="X95" s="593"/>
      <c r="Y95" s="593"/>
      <c r="Z95" s="593"/>
      <c r="AA95" s="593"/>
      <c r="AB95" s="593"/>
      <c r="AC95" s="593"/>
      <c r="AD95" s="533"/>
    </row>
    <row r="96" spans="1:30" s="596" customFormat="1" x14ac:dyDescent="0.2">
      <c r="E96" s="590"/>
      <c r="F96" s="597"/>
      <c r="G96" s="533"/>
      <c r="H96" s="533"/>
      <c r="I96" s="545"/>
      <c r="J96" s="533"/>
      <c r="K96" s="533"/>
      <c r="L96" s="545"/>
      <c r="M96" s="545"/>
      <c r="N96" s="533"/>
      <c r="O96" s="533"/>
      <c r="P96" s="593"/>
      <c r="Q96" s="593"/>
      <c r="R96" s="593"/>
      <c r="S96" s="593"/>
      <c r="T96" s="593"/>
      <c r="U96" s="593"/>
      <c r="V96" s="593"/>
      <c r="W96" s="593"/>
      <c r="X96" s="593"/>
      <c r="Y96" s="593"/>
      <c r="Z96" s="593"/>
      <c r="AA96" s="593"/>
      <c r="AB96" s="593"/>
      <c r="AC96" s="593"/>
      <c r="AD96" s="533"/>
    </row>
    <row r="97" spans="5:30" s="596" customFormat="1" x14ac:dyDescent="0.2">
      <c r="E97" s="590"/>
      <c r="F97" s="597"/>
      <c r="G97" s="533"/>
      <c r="H97" s="533"/>
      <c r="I97" s="545"/>
      <c r="J97" s="533"/>
      <c r="K97" s="533"/>
      <c r="L97" s="545"/>
      <c r="M97" s="533"/>
      <c r="N97" s="533"/>
      <c r="O97" s="533"/>
      <c r="P97" s="593"/>
      <c r="Q97" s="593"/>
      <c r="R97" s="593"/>
      <c r="S97" s="593"/>
      <c r="T97" s="593"/>
      <c r="U97" s="593"/>
      <c r="V97" s="593"/>
      <c r="W97" s="593"/>
      <c r="X97" s="593"/>
      <c r="Y97" s="593"/>
      <c r="Z97" s="593"/>
      <c r="AA97" s="593"/>
      <c r="AB97" s="593"/>
      <c r="AC97" s="593"/>
      <c r="AD97" s="533"/>
    </row>
    <row r="98" spans="5:30" s="596" customFormat="1" x14ac:dyDescent="0.2">
      <c r="E98" s="590"/>
      <c r="F98" s="597"/>
      <c r="G98" s="533"/>
      <c r="H98" s="533"/>
      <c r="I98" s="545"/>
      <c r="J98" s="533"/>
      <c r="K98" s="533"/>
      <c r="L98" s="545"/>
      <c r="M98" s="533"/>
      <c r="N98" s="533"/>
      <c r="O98" s="533"/>
      <c r="P98" s="593"/>
      <c r="Q98" s="593"/>
      <c r="R98" s="593"/>
      <c r="S98" s="593"/>
      <c r="T98" s="593"/>
      <c r="U98" s="593"/>
      <c r="V98" s="593"/>
      <c r="W98" s="593"/>
      <c r="X98" s="593"/>
      <c r="Y98" s="593"/>
      <c r="Z98" s="593"/>
      <c r="AA98" s="593"/>
      <c r="AB98" s="593"/>
      <c r="AC98" s="593"/>
      <c r="AD98" s="533"/>
    </row>
    <row r="99" spans="5:30" s="596" customFormat="1" x14ac:dyDescent="0.2">
      <c r="E99" s="590"/>
      <c r="F99" s="597"/>
      <c r="G99" s="533"/>
      <c r="H99" s="533"/>
      <c r="I99" s="545"/>
      <c r="J99" s="533"/>
      <c r="K99" s="533"/>
      <c r="L99" s="533"/>
      <c r="M99" s="533"/>
      <c r="N99" s="533"/>
      <c r="O99" s="533"/>
      <c r="P99" s="593"/>
      <c r="Q99" s="593"/>
      <c r="R99" s="593"/>
      <c r="S99" s="593"/>
      <c r="T99" s="593"/>
      <c r="U99" s="593"/>
      <c r="V99" s="593"/>
      <c r="W99" s="593"/>
      <c r="X99" s="593"/>
      <c r="Y99" s="593"/>
      <c r="Z99" s="593"/>
      <c r="AA99" s="593"/>
      <c r="AB99" s="593"/>
      <c r="AC99" s="593"/>
      <c r="AD99" s="533"/>
    </row>
    <row r="100" spans="5:30" s="596" customFormat="1" x14ac:dyDescent="0.2">
      <c r="E100" s="590"/>
      <c r="F100" s="597"/>
      <c r="G100" s="533"/>
      <c r="H100" s="533"/>
      <c r="I100" s="545"/>
      <c r="J100" s="533"/>
      <c r="K100" s="533"/>
      <c r="L100" s="533"/>
      <c r="M100" s="533"/>
      <c r="N100" s="533"/>
      <c r="O100" s="533"/>
      <c r="P100" s="593"/>
      <c r="Q100" s="593"/>
      <c r="R100" s="593"/>
      <c r="S100" s="593"/>
      <c r="T100" s="593"/>
      <c r="U100" s="593"/>
      <c r="V100" s="593"/>
      <c r="W100" s="593"/>
      <c r="X100" s="593"/>
      <c r="Y100" s="593"/>
      <c r="Z100" s="593"/>
      <c r="AA100" s="593"/>
      <c r="AB100" s="593"/>
      <c r="AC100" s="593"/>
      <c r="AD100" s="533"/>
    </row>
    <row r="101" spans="5:30" s="596" customFormat="1" x14ac:dyDescent="0.2">
      <c r="E101" s="590"/>
      <c r="F101" s="597"/>
      <c r="G101" s="533"/>
      <c r="H101" s="533"/>
      <c r="I101" s="545"/>
      <c r="J101" s="533"/>
      <c r="K101" s="533"/>
      <c r="L101" s="533"/>
      <c r="M101" s="533"/>
      <c r="N101" s="533"/>
      <c r="O101" s="533"/>
      <c r="P101" s="593"/>
      <c r="Q101" s="593"/>
      <c r="R101" s="593"/>
      <c r="S101" s="593"/>
      <c r="T101" s="593"/>
      <c r="U101" s="593"/>
      <c r="V101" s="593"/>
      <c r="W101" s="593"/>
      <c r="X101" s="593"/>
      <c r="Y101" s="593"/>
      <c r="Z101" s="593"/>
      <c r="AA101" s="593"/>
      <c r="AB101" s="593"/>
      <c r="AC101" s="593"/>
      <c r="AD101" s="533"/>
    </row>
    <row r="102" spans="5:30" s="596" customFormat="1" x14ac:dyDescent="0.2">
      <c r="E102" s="590"/>
      <c r="F102" s="597"/>
      <c r="G102" s="533"/>
      <c r="H102" s="533"/>
      <c r="I102" s="545"/>
      <c r="J102" s="533"/>
      <c r="K102" s="533"/>
      <c r="L102" s="533"/>
      <c r="M102" s="533"/>
      <c r="N102" s="533"/>
      <c r="O102" s="533"/>
      <c r="P102" s="593"/>
      <c r="Q102" s="593"/>
      <c r="R102" s="593"/>
      <c r="S102" s="593"/>
      <c r="T102" s="593"/>
      <c r="U102" s="593"/>
      <c r="V102" s="593"/>
      <c r="W102" s="593"/>
      <c r="X102" s="593"/>
      <c r="Y102" s="593"/>
      <c r="Z102" s="593"/>
      <c r="AA102" s="593"/>
      <c r="AB102" s="593"/>
      <c r="AC102" s="593"/>
      <c r="AD102" s="533"/>
    </row>
    <row r="103" spans="5:30" s="596" customFormat="1" x14ac:dyDescent="0.2">
      <c r="E103" s="590"/>
      <c r="F103" s="597"/>
      <c r="G103" s="533"/>
      <c r="H103" s="533"/>
      <c r="I103" s="545"/>
      <c r="J103" s="533"/>
      <c r="K103" s="533"/>
      <c r="L103" s="533"/>
      <c r="M103" s="533"/>
      <c r="N103" s="533"/>
      <c r="O103" s="533"/>
      <c r="P103" s="593"/>
      <c r="Q103" s="593"/>
      <c r="R103" s="593"/>
      <c r="S103" s="593"/>
      <c r="T103" s="593"/>
      <c r="U103" s="593"/>
      <c r="V103" s="593"/>
      <c r="W103" s="593"/>
      <c r="X103" s="593"/>
      <c r="Y103" s="593"/>
      <c r="Z103" s="593"/>
      <c r="AA103" s="593"/>
      <c r="AB103" s="593"/>
      <c r="AC103" s="593"/>
      <c r="AD103" s="533"/>
    </row>
    <row r="104" spans="5:30" s="596" customFormat="1" x14ac:dyDescent="0.2">
      <c r="E104" s="590"/>
      <c r="F104" s="597"/>
      <c r="G104" s="533"/>
      <c r="H104" s="533"/>
      <c r="I104" s="545"/>
      <c r="J104" s="533"/>
      <c r="K104" s="533"/>
      <c r="L104" s="533"/>
      <c r="M104" s="533"/>
      <c r="N104" s="533"/>
      <c r="O104" s="533"/>
      <c r="P104" s="593"/>
      <c r="Q104" s="593"/>
      <c r="R104" s="593"/>
      <c r="S104" s="593"/>
      <c r="T104" s="593"/>
      <c r="U104" s="593"/>
      <c r="V104" s="593"/>
      <c r="W104" s="593"/>
      <c r="X104" s="593"/>
      <c r="Y104" s="593"/>
      <c r="Z104" s="593"/>
      <c r="AA104" s="593"/>
      <c r="AB104" s="593"/>
      <c r="AC104" s="593"/>
      <c r="AD104" s="533"/>
    </row>
    <row r="105" spans="5:30" s="596" customFormat="1" x14ac:dyDescent="0.2">
      <c r="E105" s="590"/>
      <c r="F105" s="597"/>
      <c r="G105" s="533"/>
      <c r="H105" s="533"/>
      <c r="I105" s="545"/>
      <c r="J105" s="533"/>
      <c r="K105" s="533"/>
      <c r="L105" s="533"/>
      <c r="M105" s="533"/>
      <c r="N105" s="533"/>
      <c r="O105" s="533"/>
      <c r="P105" s="593"/>
      <c r="Q105" s="593"/>
      <c r="R105" s="593"/>
      <c r="S105" s="593"/>
      <c r="T105" s="593"/>
      <c r="U105" s="593"/>
      <c r="V105" s="593"/>
      <c r="W105" s="593"/>
      <c r="X105" s="593"/>
      <c r="Y105" s="593"/>
      <c r="Z105" s="593"/>
      <c r="AA105" s="593"/>
      <c r="AB105" s="593"/>
      <c r="AC105" s="593"/>
      <c r="AD105" s="533"/>
    </row>
    <row r="106" spans="5:30" s="596" customFormat="1" x14ac:dyDescent="0.2">
      <c r="E106" s="590"/>
      <c r="F106" s="597"/>
      <c r="G106" s="533"/>
      <c r="H106" s="533"/>
      <c r="I106" s="545"/>
      <c r="J106" s="533"/>
      <c r="K106" s="533"/>
      <c r="L106" s="533"/>
      <c r="M106" s="533"/>
      <c r="N106" s="533"/>
      <c r="O106" s="533"/>
      <c r="P106" s="593"/>
      <c r="Q106" s="593"/>
      <c r="R106" s="593"/>
      <c r="S106" s="593"/>
      <c r="T106" s="593"/>
      <c r="U106" s="593"/>
      <c r="V106" s="593"/>
      <c r="W106" s="593"/>
      <c r="X106" s="593"/>
      <c r="Y106" s="593"/>
      <c r="Z106" s="593"/>
      <c r="AA106" s="593"/>
      <c r="AB106" s="593"/>
      <c r="AC106" s="593"/>
      <c r="AD106" s="533"/>
    </row>
    <row r="107" spans="5:30" s="596" customFormat="1" x14ac:dyDescent="0.2">
      <c r="E107" s="590"/>
      <c r="F107" s="597"/>
      <c r="G107" s="533"/>
      <c r="H107" s="533"/>
      <c r="I107" s="545"/>
      <c r="J107" s="533"/>
      <c r="K107" s="533"/>
      <c r="L107" s="533"/>
      <c r="M107" s="533"/>
      <c r="N107" s="533"/>
      <c r="O107" s="533"/>
      <c r="P107" s="593"/>
      <c r="Q107" s="593"/>
      <c r="R107" s="593"/>
      <c r="S107" s="593"/>
      <c r="T107" s="593"/>
      <c r="U107" s="593"/>
      <c r="V107" s="593"/>
      <c r="W107" s="593"/>
      <c r="X107" s="593"/>
      <c r="Y107" s="593"/>
      <c r="Z107" s="593"/>
      <c r="AA107" s="593"/>
      <c r="AB107" s="593"/>
      <c r="AC107" s="593"/>
      <c r="AD107" s="533"/>
    </row>
    <row r="108" spans="5:30" s="596" customFormat="1" x14ac:dyDescent="0.2">
      <c r="E108" s="590"/>
      <c r="F108" s="597"/>
      <c r="G108" s="533"/>
      <c r="H108" s="533"/>
      <c r="I108" s="545"/>
      <c r="J108" s="533"/>
      <c r="K108" s="533"/>
      <c r="L108" s="533"/>
      <c r="M108" s="533"/>
      <c r="N108" s="533"/>
      <c r="O108" s="533"/>
      <c r="P108" s="593"/>
      <c r="Q108" s="593"/>
      <c r="R108" s="593"/>
      <c r="S108" s="593"/>
      <c r="T108" s="593"/>
      <c r="U108" s="593"/>
      <c r="V108" s="593"/>
      <c r="W108" s="593"/>
      <c r="X108" s="593"/>
      <c r="Y108" s="593"/>
      <c r="Z108" s="593"/>
      <c r="AA108" s="593"/>
      <c r="AB108" s="593"/>
      <c r="AC108" s="593"/>
      <c r="AD108" s="533"/>
    </row>
    <row r="109" spans="5:30" s="596" customFormat="1" x14ac:dyDescent="0.2">
      <c r="E109" s="590"/>
      <c r="F109" s="597"/>
      <c r="G109" s="533"/>
      <c r="H109" s="533"/>
      <c r="I109" s="545"/>
      <c r="J109" s="533"/>
      <c r="K109" s="533"/>
      <c r="L109" s="533"/>
      <c r="M109" s="533"/>
      <c r="N109" s="533"/>
      <c r="O109" s="533"/>
      <c r="P109" s="593"/>
      <c r="Q109" s="593"/>
      <c r="R109" s="593"/>
      <c r="S109" s="593"/>
      <c r="T109" s="593"/>
      <c r="U109" s="593"/>
      <c r="V109" s="593"/>
      <c r="W109" s="593"/>
      <c r="X109" s="593"/>
      <c r="Y109" s="593"/>
      <c r="Z109" s="593"/>
      <c r="AA109" s="593"/>
      <c r="AB109" s="593"/>
      <c r="AC109" s="593"/>
      <c r="AD109" s="533"/>
    </row>
    <row r="110" spans="5:30" s="596" customFormat="1" x14ac:dyDescent="0.2">
      <c r="E110" s="590"/>
      <c r="F110" s="597"/>
      <c r="G110" s="593"/>
      <c r="H110" s="533"/>
      <c r="I110" s="545"/>
      <c r="J110" s="533"/>
      <c r="K110" s="533"/>
      <c r="L110" s="533"/>
      <c r="M110" s="533"/>
      <c r="N110" s="533"/>
      <c r="O110" s="533"/>
      <c r="P110" s="593"/>
      <c r="Q110" s="593"/>
      <c r="R110" s="593"/>
      <c r="S110" s="593"/>
      <c r="T110" s="593"/>
      <c r="U110" s="593"/>
      <c r="V110" s="593"/>
      <c r="W110" s="593"/>
      <c r="X110" s="593"/>
      <c r="Y110" s="593"/>
      <c r="Z110" s="593"/>
      <c r="AA110" s="593"/>
      <c r="AB110" s="593"/>
      <c r="AC110" s="593"/>
      <c r="AD110" s="533"/>
    </row>
    <row r="111" spans="5:30" s="596" customFormat="1" x14ac:dyDescent="0.2">
      <c r="E111" s="590"/>
      <c r="F111" s="597"/>
      <c r="G111" s="593"/>
      <c r="H111" s="533"/>
      <c r="I111" s="545"/>
      <c r="J111" s="533"/>
      <c r="K111" s="533"/>
      <c r="L111" s="533"/>
      <c r="M111" s="533"/>
      <c r="N111" s="533"/>
      <c r="O111" s="533"/>
      <c r="P111" s="593"/>
      <c r="Q111" s="593"/>
      <c r="R111" s="593"/>
      <c r="S111" s="593"/>
      <c r="T111" s="593"/>
      <c r="U111" s="593"/>
      <c r="V111" s="593"/>
      <c r="W111" s="593"/>
      <c r="X111" s="593"/>
      <c r="Y111" s="593"/>
      <c r="Z111" s="593"/>
      <c r="AA111" s="593"/>
      <c r="AB111" s="593"/>
      <c r="AC111" s="593"/>
      <c r="AD111" s="533"/>
    </row>
    <row r="112" spans="5:30" s="596" customFormat="1" x14ac:dyDescent="0.2">
      <c r="E112" s="590"/>
      <c r="F112" s="597"/>
      <c r="G112" s="593"/>
      <c r="H112" s="533"/>
      <c r="I112" s="545"/>
      <c r="J112" s="533"/>
      <c r="K112" s="533"/>
      <c r="L112" s="533"/>
      <c r="M112" s="533"/>
      <c r="N112" s="533"/>
      <c r="O112" s="533"/>
      <c r="P112" s="593"/>
      <c r="Q112" s="593"/>
      <c r="R112" s="593"/>
      <c r="S112" s="593"/>
      <c r="T112" s="593"/>
      <c r="U112" s="593"/>
      <c r="V112" s="593"/>
      <c r="W112" s="593"/>
      <c r="X112" s="593"/>
      <c r="Y112" s="593"/>
      <c r="Z112" s="593"/>
      <c r="AA112" s="593"/>
      <c r="AB112" s="593"/>
      <c r="AC112" s="593"/>
      <c r="AD112" s="533"/>
    </row>
    <row r="113" spans="5:30" s="596" customFormat="1" x14ac:dyDescent="0.2">
      <c r="E113" s="590"/>
      <c r="F113" s="597"/>
      <c r="G113" s="593"/>
      <c r="H113" s="533"/>
      <c r="I113" s="545"/>
      <c r="J113" s="533"/>
      <c r="K113" s="533"/>
      <c r="L113" s="533"/>
      <c r="M113" s="533"/>
      <c r="N113" s="533"/>
      <c r="O113" s="533"/>
      <c r="P113" s="593"/>
      <c r="Q113" s="593"/>
      <c r="R113" s="593"/>
      <c r="S113" s="593"/>
      <c r="T113" s="593"/>
      <c r="U113" s="593"/>
      <c r="V113" s="593"/>
      <c r="W113" s="593"/>
      <c r="X113" s="593"/>
      <c r="Y113" s="593"/>
      <c r="Z113" s="593"/>
      <c r="AA113" s="593"/>
      <c r="AB113" s="593"/>
      <c r="AC113" s="593"/>
      <c r="AD113" s="533"/>
    </row>
    <row r="114" spans="5:30" s="596" customFormat="1" x14ac:dyDescent="0.2">
      <c r="E114" s="590"/>
      <c r="F114" s="597"/>
      <c r="G114" s="533"/>
      <c r="H114" s="533"/>
      <c r="I114" s="545"/>
      <c r="J114" s="533"/>
      <c r="K114" s="533"/>
      <c r="L114" s="533"/>
      <c r="M114" s="533"/>
      <c r="N114" s="533"/>
      <c r="O114" s="533"/>
      <c r="P114" s="593"/>
      <c r="Q114" s="593"/>
      <c r="R114" s="593"/>
      <c r="S114" s="593"/>
      <c r="T114" s="593"/>
      <c r="U114" s="593"/>
      <c r="V114" s="593"/>
      <c r="W114" s="593"/>
      <c r="X114" s="593"/>
      <c r="Y114" s="593"/>
      <c r="Z114" s="593"/>
      <c r="AA114" s="593"/>
      <c r="AB114" s="593"/>
      <c r="AC114" s="593"/>
      <c r="AD114" s="533"/>
    </row>
    <row r="115" spans="5:30" s="596" customFormat="1" x14ac:dyDescent="0.2">
      <c r="E115" s="590"/>
      <c r="F115" s="597"/>
      <c r="G115" s="533"/>
      <c r="H115" s="533"/>
      <c r="I115" s="545"/>
      <c r="J115" s="533"/>
      <c r="K115" s="533"/>
      <c r="L115" s="533"/>
      <c r="M115" s="533"/>
      <c r="N115" s="533"/>
      <c r="O115" s="533"/>
      <c r="P115" s="593"/>
      <c r="Q115" s="593"/>
      <c r="R115" s="593"/>
      <c r="S115" s="593"/>
      <c r="T115" s="593"/>
      <c r="U115" s="593"/>
      <c r="V115" s="593"/>
      <c r="W115" s="593"/>
      <c r="X115" s="593"/>
      <c r="Y115" s="593"/>
      <c r="Z115" s="593"/>
      <c r="AA115" s="593"/>
      <c r="AB115" s="593"/>
      <c r="AC115" s="593"/>
      <c r="AD115" s="533"/>
    </row>
    <row r="116" spans="5:30" s="596" customFormat="1" x14ac:dyDescent="0.2">
      <c r="E116" s="590"/>
      <c r="F116" s="597"/>
      <c r="G116" s="533"/>
      <c r="H116" s="533"/>
      <c r="I116" s="545"/>
      <c r="J116" s="533"/>
      <c r="K116" s="533"/>
      <c r="L116" s="533"/>
      <c r="M116" s="533"/>
      <c r="N116" s="533"/>
      <c r="O116" s="533"/>
      <c r="P116" s="593"/>
      <c r="Q116" s="593"/>
      <c r="R116" s="599"/>
      <c r="S116" s="599"/>
      <c r="T116" s="599"/>
      <c r="U116" s="599"/>
      <c r="V116" s="599"/>
      <c r="W116" s="599"/>
      <c r="X116" s="599"/>
      <c r="Y116" s="599"/>
      <c r="Z116" s="599"/>
      <c r="AA116" s="599"/>
      <c r="AB116" s="599"/>
      <c r="AC116" s="599"/>
    </row>
    <row r="117" spans="5:30" s="596" customFormat="1" x14ac:dyDescent="0.2">
      <c r="E117" s="590"/>
      <c r="F117" s="597"/>
      <c r="G117" s="533"/>
      <c r="H117" s="533"/>
      <c r="I117" s="545"/>
      <c r="J117" s="533"/>
      <c r="K117" s="533"/>
      <c r="L117" s="533"/>
      <c r="M117" s="533"/>
      <c r="N117" s="533"/>
      <c r="O117" s="533"/>
      <c r="P117" s="593"/>
      <c r="Q117" s="593"/>
      <c r="R117" s="599"/>
      <c r="S117" s="599"/>
      <c r="T117" s="599"/>
      <c r="U117" s="599"/>
      <c r="V117" s="599"/>
      <c r="W117" s="599"/>
      <c r="X117" s="599"/>
      <c r="Y117" s="599"/>
      <c r="Z117" s="599"/>
      <c r="AA117" s="599"/>
      <c r="AB117" s="599"/>
      <c r="AC117" s="599"/>
    </row>
    <row r="118" spans="5:30" s="596" customFormat="1" x14ac:dyDescent="0.2">
      <c r="E118" s="590"/>
      <c r="F118" s="597"/>
      <c r="G118" s="533"/>
      <c r="H118" s="533"/>
      <c r="I118" s="545"/>
      <c r="J118" s="533"/>
      <c r="K118" s="533"/>
      <c r="L118" s="533"/>
      <c r="M118" s="533"/>
      <c r="N118" s="533"/>
      <c r="O118" s="533"/>
      <c r="P118" s="593"/>
      <c r="Q118" s="593"/>
      <c r="R118" s="599"/>
      <c r="S118" s="599"/>
      <c r="T118" s="599"/>
      <c r="U118" s="599"/>
      <c r="V118" s="599"/>
      <c r="W118" s="599"/>
      <c r="X118" s="599"/>
      <c r="Y118" s="599"/>
      <c r="Z118" s="599"/>
      <c r="AA118" s="599"/>
      <c r="AB118" s="599"/>
      <c r="AC118" s="599"/>
    </row>
    <row r="119" spans="5:30" s="596" customFormat="1" x14ac:dyDescent="0.2">
      <c r="E119" s="590"/>
      <c r="F119" s="597"/>
      <c r="G119" s="533"/>
      <c r="H119" s="533"/>
      <c r="I119" s="545"/>
      <c r="J119" s="533"/>
      <c r="K119" s="533"/>
      <c r="L119" s="533"/>
      <c r="M119" s="533"/>
      <c r="N119" s="533"/>
      <c r="O119" s="533"/>
      <c r="P119" s="593"/>
      <c r="Q119" s="593"/>
      <c r="R119" s="599"/>
      <c r="S119" s="599"/>
      <c r="T119" s="599"/>
      <c r="U119" s="599"/>
      <c r="V119" s="599"/>
      <c r="W119" s="599"/>
      <c r="X119" s="599"/>
      <c r="Y119" s="599"/>
      <c r="Z119" s="599"/>
      <c r="AA119" s="599"/>
      <c r="AB119" s="599"/>
      <c r="AC119" s="599"/>
    </row>
    <row r="120" spans="5:30" s="596" customFormat="1" x14ac:dyDescent="0.2">
      <c r="E120" s="590"/>
      <c r="F120" s="597"/>
      <c r="G120" s="533"/>
      <c r="H120" s="533"/>
      <c r="I120" s="545"/>
      <c r="J120" s="533"/>
      <c r="K120" s="533"/>
      <c r="L120" s="533"/>
      <c r="M120" s="533"/>
      <c r="N120" s="533"/>
      <c r="O120" s="533"/>
      <c r="P120" s="593"/>
      <c r="Q120" s="593"/>
      <c r="R120" s="599"/>
      <c r="S120" s="599"/>
      <c r="T120" s="599"/>
      <c r="U120" s="599"/>
      <c r="V120" s="599"/>
      <c r="W120" s="599"/>
      <c r="X120" s="599"/>
      <c r="Y120" s="599"/>
      <c r="Z120" s="599"/>
      <c r="AA120" s="599"/>
      <c r="AB120" s="599"/>
      <c r="AC120" s="599"/>
    </row>
    <row r="121" spans="5:30" s="596" customFormat="1" x14ac:dyDescent="0.2">
      <c r="E121" s="590"/>
      <c r="F121" s="597"/>
      <c r="G121" s="533"/>
      <c r="H121" s="533"/>
      <c r="I121" s="545"/>
      <c r="J121" s="533"/>
      <c r="K121" s="533"/>
      <c r="L121" s="533"/>
      <c r="M121" s="533"/>
      <c r="P121" s="599"/>
      <c r="Q121" s="599"/>
      <c r="R121" s="599"/>
      <c r="S121" s="599"/>
      <c r="T121" s="599"/>
      <c r="U121" s="599"/>
      <c r="V121" s="599"/>
      <c r="W121" s="599"/>
      <c r="X121" s="599"/>
      <c r="Y121" s="599"/>
      <c r="Z121" s="599"/>
      <c r="AA121" s="599"/>
      <c r="AB121" s="599"/>
      <c r="AC121" s="599"/>
    </row>
    <row r="122" spans="5:30" s="596" customFormat="1" x14ac:dyDescent="0.2">
      <c r="E122" s="590"/>
      <c r="F122" s="597"/>
      <c r="G122" s="533"/>
      <c r="H122" s="533"/>
      <c r="I122" s="545"/>
      <c r="J122" s="533"/>
      <c r="K122" s="533"/>
      <c r="L122" s="533"/>
      <c r="M122" s="533"/>
      <c r="P122" s="599"/>
      <c r="Q122" s="599"/>
      <c r="R122" s="599"/>
      <c r="S122" s="599"/>
      <c r="T122" s="599"/>
      <c r="U122" s="599"/>
      <c r="V122" s="599"/>
      <c r="W122" s="599"/>
      <c r="X122" s="599"/>
      <c r="Y122" s="599"/>
      <c r="Z122" s="599"/>
      <c r="AA122" s="599"/>
      <c r="AB122" s="599"/>
      <c r="AC122" s="599"/>
    </row>
    <row r="123" spans="5:30" s="596" customFormat="1" x14ac:dyDescent="0.2">
      <c r="E123" s="590"/>
      <c r="F123" s="597"/>
      <c r="G123" s="533"/>
      <c r="H123" s="533"/>
      <c r="I123" s="545"/>
      <c r="J123" s="533"/>
      <c r="K123" s="533"/>
      <c r="L123" s="533"/>
      <c r="M123" s="533"/>
      <c r="P123" s="599"/>
      <c r="Q123" s="599"/>
      <c r="R123" s="599"/>
      <c r="S123" s="599"/>
      <c r="T123" s="599"/>
      <c r="U123" s="599"/>
      <c r="V123" s="599"/>
      <c r="W123" s="599"/>
      <c r="X123" s="599"/>
      <c r="Y123" s="599"/>
      <c r="Z123" s="599"/>
      <c r="AA123" s="599"/>
      <c r="AB123" s="599"/>
      <c r="AC123" s="599"/>
    </row>
    <row r="124" spans="5:30" s="596" customFormat="1" x14ac:dyDescent="0.2">
      <c r="E124" s="590"/>
      <c r="F124" s="597"/>
      <c r="G124" s="533"/>
      <c r="H124" s="533"/>
      <c r="I124" s="545"/>
      <c r="J124" s="533"/>
      <c r="K124" s="533"/>
      <c r="L124" s="533"/>
      <c r="M124" s="533"/>
      <c r="P124" s="599"/>
      <c r="Q124" s="599"/>
      <c r="R124" s="599"/>
      <c r="S124" s="599"/>
      <c r="T124" s="599"/>
      <c r="U124" s="599"/>
      <c r="V124" s="599"/>
      <c r="W124" s="599"/>
      <c r="X124" s="599"/>
      <c r="Y124" s="599"/>
      <c r="Z124" s="599"/>
      <c r="AA124" s="599"/>
      <c r="AB124" s="599"/>
      <c r="AC124" s="599"/>
    </row>
    <row r="125" spans="5:30" s="596" customFormat="1" x14ac:dyDescent="0.2">
      <c r="E125" s="590"/>
      <c r="F125" s="597"/>
      <c r="G125" s="533"/>
      <c r="H125" s="533"/>
      <c r="I125" s="545"/>
      <c r="J125" s="533"/>
      <c r="K125" s="533"/>
      <c r="L125" s="533"/>
      <c r="M125" s="533"/>
      <c r="P125" s="599"/>
      <c r="Q125" s="599"/>
      <c r="R125" s="599"/>
      <c r="S125" s="599"/>
      <c r="T125" s="599"/>
      <c r="U125" s="599"/>
      <c r="V125" s="599"/>
      <c r="W125" s="599"/>
      <c r="X125" s="599"/>
      <c r="Y125" s="599"/>
      <c r="Z125" s="599"/>
      <c r="AA125" s="599"/>
      <c r="AB125" s="599"/>
      <c r="AC125" s="599"/>
    </row>
    <row r="126" spans="5:30" s="596" customFormat="1" x14ac:dyDescent="0.2">
      <c r="E126" s="590"/>
      <c r="F126" s="597"/>
      <c r="G126" s="533"/>
      <c r="H126" s="533"/>
      <c r="I126" s="545"/>
      <c r="J126" s="533"/>
      <c r="K126" s="533"/>
      <c r="L126" s="533"/>
      <c r="M126" s="533"/>
      <c r="P126" s="599"/>
      <c r="Q126" s="599"/>
      <c r="R126" s="599"/>
      <c r="S126" s="599"/>
      <c r="T126" s="599"/>
      <c r="U126" s="599"/>
      <c r="V126" s="599"/>
      <c r="W126" s="599"/>
      <c r="X126" s="599"/>
      <c r="Y126" s="599"/>
      <c r="Z126" s="599"/>
      <c r="AA126" s="599"/>
      <c r="AB126" s="599"/>
      <c r="AC126" s="599"/>
    </row>
    <row r="127" spans="5:30" s="596" customFormat="1" x14ac:dyDescent="0.2">
      <c r="E127" s="590"/>
      <c r="F127" s="597"/>
      <c r="G127" s="533"/>
      <c r="H127" s="533"/>
      <c r="I127" s="545"/>
      <c r="J127" s="533"/>
      <c r="K127" s="533"/>
      <c r="L127" s="533"/>
      <c r="M127" s="533"/>
      <c r="P127" s="599"/>
      <c r="Q127" s="599"/>
      <c r="R127" s="599"/>
      <c r="S127" s="599"/>
      <c r="T127" s="599"/>
      <c r="U127" s="599"/>
      <c r="V127" s="599"/>
      <c r="W127" s="599"/>
      <c r="X127" s="599"/>
      <c r="Y127" s="599"/>
      <c r="Z127" s="599"/>
      <c r="AA127" s="599"/>
      <c r="AB127" s="599"/>
      <c r="AC127" s="599"/>
    </row>
    <row r="128" spans="5:30" s="596" customFormat="1" x14ac:dyDescent="0.2">
      <c r="E128" s="590"/>
      <c r="F128" s="597"/>
      <c r="G128" s="533"/>
      <c r="H128" s="533"/>
      <c r="I128" s="545"/>
      <c r="J128" s="533"/>
      <c r="K128" s="533"/>
      <c r="L128" s="533"/>
      <c r="M128" s="533"/>
      <c r="P128" s="599"/>
      <c r="Q128" s="599"/>
      <c r="R128" s="599"/>
      <c r="S128" s="599"/>
      <c r="T128" s="599"/>
      <c r="U128" s="599"/>
      <c r="V128" s="599"/>
      <c r="W128" s="599"/>
      <c r="X128" s="599"/>
      <c r="Y128" s="599"/>
      <c r="Z128" s="599"/>
      <c r="AA128" s="599"/>
      <c r="AB128" s="599"/>
      <c r="AC128" s="599"/>
    </row>
    <row r="129" spans="5:29" s="596" customFormat="1" x14ac:dyDescent="0.2">
      <c r="E129" s="590"/>
      <c r="F129" s="597"/>
      <c r="G129" s="533"/>
      <c r="H129" s="533"/>
      <c r="I129" s="545"/>
      <c r="J129" s="533"/>
      <c r="K129" s="533"/>
      <c r="L129" s="533"/>
      <c r="M129" s="533"/>
      <c r="P129" s="599"/>
      <c r="Q129" s="599"/>
      <c r="R129" s="599"/>
      <c r="S129" s="599"/>
      <c r="T129" s="599"/>
      <c r="U129" s="599"/>
      <c r="V129" s="599"/>
      <c r="W129" s="599"/>
      <c r="X129" s="599"/>
      <c r="Y129" s="599"/>
      <c r="Z129" s="599"/>
      <c r="AA129" s="599"/>
      <c r="AB129" s="599"/>
      <c r="AC129" s="599"/>
    </row>
    <row r="130" spans="5:29" s="596" customFormat="1" x14ac:dyDescent="0.2">
      <c r="E130" s="590"/>
      <c r="F130" s="597"/>
      <c r="G130" s="533"/>
      <c r="H130" s="533"/>
      <c r="I130" s="545"/>
      <c r="J130" s="533"/>
      <c r="K130" s="533"/>
      <c r="L130" s="533"/>
      <c r="M130" s="533"/>
      <c r="P130" s="599"/>
      <c r="Q130" s="599"/>
      <c r="R130" s="599"/>
      <c r="S130" s="599"/>
      <c r="T130" s="599"/>
      <c r="U130" s="599"/>
      <c r="V130" s="599"/>
      <c r="W130" s="599"/>
      <c r="X130" s="599"/>
      <c r="Y130" s="599"/>
      <c r="Z130" s="599"/>
      <c r="AA130" s="599"/>
      <c r="AB130" s="599"/>
      <c r="AC130" s="599"/>
    </row>
    <row r="131" spans="5:29" s="596" customFormat="1" x14ac:dyDescent="0.2">
      <c r="E131" s="590"/>
      <c r="F131" s="597"/>
      <c r="G131" s="533"/>
      <c r="H131" s="533"/>
      <c r="I131" s="545"/>
      <c r="J131" s="533"/>
      <c r="K131" s="533"/>
      <c r="L131" s="533"/>
      <c r="M131" s="533"/>
      <c r="P131" s="599"/>
      <c r="Q131" s="599"/>
      <c r="R131" s="599"/>
      <c r="S131" s="599"/>
      <c r="T131" s="599"/>
      <c r="U131" s="599"/>
      <c r="V131" s="599"/>
      <c r="W131" s="599"/>
      <c r="X131" s="599"/>
      <c r="Y131" s="599"/>
      <c r="Z131" s="599"/>
      <c r="AA131" s="599"/>
      <c r="AB131" s="599"/>
      <c r="AC131" s="599"/>
    </row>
    <row r="132" spans="5:29" s="596" customFormat="1" x14ac:dyDescent="0.2">
      <c r="E132" s="590"/>
      <c r="F132" s="597"/>
      <c r="G132" s="533"/>
      <c r="H132" s="533"/>
      <c r="I132" s="545"/>
      <c r="J132" s="533"/>
      <c r="K132" s="533"/>
      <c r="L132" s="533"/>
      <c r="M132" s="533"/>
      <c r="P132" s="599"/>
      <c r="Q132" s="599"/>
      <c r="R132" s="599"/>
      <c r="S132" s="599"/>
      <c r="T132" s="599"/>
      <c r="U132" s="599"/>
      <c r="V132" s="599"/>
      <c r="W132" s="599"/>
      <c r="X132" s="599"/>
      <c r="Y132" s="599"/>
      <c r="Z132" s="599"/>
      <c r="AA132" s="599"/>
      <c r="AB132" s="599"/>
      <c r="AC132" s="599"/>
    </row>
    <row r="133" spans="5:29" s="596" customFormat="1" x14ac:dyDescent="0.2">
      <c r="E133" s="590"/>
      <c r="F133" s="597"/>
      <c r="G133" s="533"/>
      <c r="H133" s="533"/>
      <c r="I133" s="545"/>
      <c r="J133" s="533"/>
      <c r="K133" s="533"/>
      <c r="L133" s="533"/>
      <c r="M133" s="533"/>
      <c r="P133" s="599"/>
      <c r="Q133" s="599"/>
      <c r="R133" s="599"/>
      <c r="S133" s="599"/>
      <c r="T133" s="599"/>
      <c r="U133" s="599"/>
      <c r="V133" s="599"/>
      <c r="W133" s="599"/>
      <c r="X133" s="599"/>
      <c r="Y133" s="599"/>
      <c r="Z133" s="599"/>
      <c r="AA133" s="599"/>
      <c r="AB133" s="599"/>
      <c r="AC133" s="599"/>
    </row>
    <row r="134" spans="5:29" s="596" customFormat="1" x14ac:dyDescent="0.2">
      <c r="E134" s="590"/>
      <c r="F134" s="597"/>
      <c r="G134" s="533"/>
      <c r="H134" s="533"/>
      <c r="I134" s="545"/>
      <c r="J134" s="533"/>
      <c r="K134" s="533"/>
      <c r="L134" s="533"/>
      <c r="M134" s="533"/>
      <c r="P134" s="599"/>
      <c r="Q134" s="599"/>
      <c r="R134" s="599"/>
      <c r="S134" s="599"/>
      <c r="T134" s="599"/>
      <c r="U134" s="599"/>
      <c r="V134" s="599"/>
      <c r="W134" s="599"/>
      <c r="X134" s="599"/>
      <c r="Y134" s="599"/>
      <c r="Z134" s="599"/>
      <c r="AA134" s="599"/>
      <c r="AB134" s="599"/>
      <c r="AC134" s="599"/>
    </row>
    <row r="135" spans="5:29" s="596" customFormat="1" x14ac:dyDescent="0.2">
      <c r="E135" s="590"/>
      <c r="F135" s="597"/>
      <c r="G135" s="533"/>
      <c r="H135" s="533"/>
      <c r="I135" s="545"/>
      <c r="J135" s="533"/>
      <c r="K135" s="533"/>
      <c r="L135" s="533"/>
      <c r="M135" s="533"/>
      <c r="P135" s="599"/>
      <c r="Q135" s="599"/>
      <c r="R135" s="599"/>
      <c r="S135" s="599"/>
      <c r="T135" s="599"/>
      <c r="U135" s="599"/>
      <c r="V135" s="599"/>
      <c r="W135" s="599"/>
      <c r="X135" s="599"/>
      <c r="Y135" s="599"/>
      <c r="Z135" s="599"/>
      <c r="AA135" s="599"/>
      <c r="AB135" s="599"/>
      <c r="AC135" s="599"/>
    </row>
    <row r="136" spans="5:29" s="596" customFormat="1" x14ac:dyDescent="0.2">
      <c r="E136" s="590"/>
      <c r="F136" s="597"/>
      <c r="G136" s="533"/>
      <c r="H136" s="533"/>
      <c r="I136" s="545"/>
      <c r="J136" s="533"/>
      <c r="K136" s="533"/>
      <c r="L136" s="533"/>
      <c r="P136" s="599"/>
      <c r="Q136" s="599"/>
      <c r="R136" s="599"/>
      <c r="S136" s="599"/>
      <c r="T136" s="599"/>
      <c r="U136" s="599"/>
      <c r="V136" s="599"/>
      <c r="W136" s="599"/>
      <c r="X136" s="599"/>
      <c r="Y136" s="599"/>
      <c r="Z136" s="599"/>
      <c r="AA136" s="599"/>
      <c r="AB136" s="599"/>
      <c r="AC136" s="599"/>
    </row>
    <row r="137" spans="5:29" s="596" customFormat="1" x14ac:dyDescent="0.2">
      <c r="E137" s="590"/>
      <c r="F137" s="597"/>
      <c r="G137" s="533"/>
      <c r="H137" s="533"/>
      <c r="I137" s="545"/>
      <c r="J137" s="533"/>
      <c r="K137" s="533"/>
      <c r="L137" s="533"/>
      <c r="P137" s="599"/>
      <c r="Q137" s="599"/>
      <c r="R137" s="599"/>
      <c r="S137" s="599"/>
      <c r="T137" s="599"/>
      <c r="U137" s="599"/>
      <c r="V137" s="599"/>
      <c r="W137" s="599"/>
      <c r="X137" s="599"/>
      <c r="Y137" s="599"/>
      <c r="Z137" s="599"/>
      <c r="AA137" s="599"/>
      <c r="AB137" s="599"/>
      <c r="AC137" s="599"/>
    </row>
    <row r="138" spans="5:29" s="596" customFormat="1" x14ac:dyDescent="0.2">
      <c r="E138" s="590"/>
      <c r="F138" s="597"/>
      <c r="G138" s="533"/>
      <c r="H138" s="533"/>
      <c r="I138" s="545"/>
      <c r="J138" s="533"/>
      <c r="K138" s="533"/>
      <c r="L138" s="533"/>
      <c r="P138" s="599"/>
      <c r="Q138" s="599"/>
      <c r="R138" s="599"/>
      <c r="S138" s="599"/>
      <c r="T138" s="599"/>
      <c r="U138" s="599"/>
      <c r="V138" s="599"/>
      <c r="W138" s="599"/>
      <c r="X138" s="599"/>
      <c r="Y138" s="599"/>
      <c r="Z138" s="599"/>
      <c r="AA138" s="599"/>
      <c r="AB138" s="599"/>
      <c r="AC138" s="599"/>
    </row>
    <row r="139" spans="5:29" s="596" customFormat="1" x14ac:dyDescent="0.2">
      <c r="E139" s="590"/>
      <c r="F139" s="597"/>
      <c r="G139" s="533"/>
      <c r="H139" s="533"/>
      <c r="I139" s="545"/>
      <c r="J139" s="533"/>
      <c r="K139" s="533"/>
      <c r="L139" s="533"/>
      <c r="P139" s="599"/>
      <c r="Q139" s="599"/>
      <c r="R139" s="599"/>
      <c r="S139" s="599"/>
      <c r="T139" s="599"/>
      <c r="U139" s="599"/>
      <c r="V139" s="599"/>
      <c r="W139" s="599"/>
      <c r="X139" s="599"/>
      <c r="Y139" s="599"/>
      <c r="Z139" s="599"/>
      <c r="AA139" s="599"/>
      <c r="AB139" s="599"/>
      <c r="AC139" s="599"/>
    </row>
    <row r="140" spans="5:29" s="596" customFormat="1" x14ac:dyDescent="0.2">
      <c r="E140" s="590"/>
      <c r="F140" s="597"/>
      <c r="G140" s="533"/>
      <c r="H140" s="533"/>
      <c r="I140" s="545"/>
      <c r="J140" s="533"/>
      <c r="K140" s="533"/>
      <c r="L140" s="533"/>
      <c r="P140" s="599"/>
      <c r="Q140" s="599"/>
      <c r="R140" s="599"/>
      <c r="S140" s="599"/>
      <c r="T140" s="599"/>
      <c r="U140" s="599"/>
      <c r="V140" s="599"/>
      <c r="W140" s="599"/>
      <c r="X140" s="599"/>
      <c r="Y140" s="599"/>
      <c r="Z140" s="599"/>
      <c r="AA140" s="599"/>
      <c r="AB140" s="599"/>
      <c r="AC140" s="599"/>
    </row>
    <row r="141" spans="5:29" s="596" customFormat="1" x14ac:dyDescent="0.2">
      <c r="E141" s="590"/>
      <c r="F141" s="597"/>
      <c r="G141" s="533"/>
      <c r="H141" s="533"/>
      <c r="I141" s="545"/>
      <c r="J141" s="533"/>
      <c r="K141" s="533"/>
      <c r="L141" s="533"/>
      <c r="P141" s="599"/>
      <c r="Q141" s="599"/>
      <c r="R141" s="599"/>
      <c r="S141" s="599"/>
      <c r="T141" s="599"/>
      <c r="U141" s="599"/>
      <c r="V141" s="599"/>
      <c r="W141" s="599"/>
      <c r="X141" s="599"/>
      <c r="Y141" s="599"/>
      <c r="Z141" s="599"/>
      <c r="AA141" s="599"/>
      <c r="AB141" s="599"/>
      <c r="AC141" s="599"/>
    </row>
    <row r="142" spans="5:29" s="596" customFormat="1" x14ac:dyDescent="0.2">
      <c r="E142" s="590"/>
      <c r="F142" s="597"/>
      <c r="G142" s="533"/>
      <c r="H142" s="533"/>
      <c r="I142" s="545"/>
      <c r="J142" s="533"/>
      <c r="K142" s="533"/>
      <c r="L142" s="533"/>
      <c r="P142" s="599"/>
      <c r="Q142" s="599"/>
      <c r="R142" s="599"/>
      <c r="S142" s="599"/>
      <c r="T142" s="599"/>
      <c r="U142" s="599"/>
      <c r="V142" s="599"/>
      <c r="W142" s="599"/>
      <c r="X142" s="599"/>
      <c r="Y142" s="599"/>
      <c r="Z142" s="599"/>
      <c r="AA142" s="599"/>
      <c r="AB142" s="599"/>
      <c r="AC142" s="599"/>
    </row>
    <row r="143" spans="5:29" s="596" customFormat="1" x14ac:dyDescent="0.2">
      <c r="E143" s="590"/>
      <c r="F143" s="597"/>
      <c r="G143" s="533"/>
      <c r="H143" s="533"/>
      <c r="I143" s="545"/>
      <c r="J143" s="533"/>
      <c r="K143" s="533"/>
      <c r="L143" s="533"/>
      <c r="P143" s="599"/>
      <c r="Q143" s="599"/>
      <c r="R143" s="599"/>
      <c r="S143" s="599"/>
      <c r="T143" s="599"/>
      <c r="U143" s="599"/>
      <c r="V143" s="599"/>
      <c r="W143" s="599"/>
      <c r="X143" s="599"/>
      <c r="Y143" s="599"/>
      <c r="Z143" s="599"/>
      <c r="AA143" s="599"/>
      <c r="AB143" s="599"/>
      <c r="AC143" s="599"/>
    </row>
    <row r="144" spans="5:29" s="596" customFormat="1" x14ac:dyDescent="0.2">
      <c r="E144" s="590"/>
      <c r="F144" s="597"/>
      <c r="G144" s="533"/>
      <c r="H144" s="533"/>
      <c r="I144" s="545"/>
      <c r="J144" s="533"/>
      <c r="K144" s="533"/>
      <c r="L144" s="533"/>
      <c r="P144" s="599"/>
      <c r="Q144" s="599"/>
      <c r="R144" s="599"/>
      <c r="S144" s="599"/>
      <c r="T144" s="599"/>
      <c r="U144" s="599"/>
      <c r="V144" s="599"/>
      <c r="W144" s="599"/>
      <c r="X144" s="599"/>
      <c r="Y144" s="599"/>
      <c r="Z144" s="599"/>
      <c r="AA144" s="599"/>
      <c r="AB144" s="599"/>
      <c r="AC144" s="599"/>
    </row>
    <row r="145" spans="1:30" s="596" customFormat="1" x14ac:dyDescent="0.2">
      <c r="E145" s="590"/>
      <c r="F145" s="597"/>
      <c r="G145" s="533"/>
      <c r="H145" s="533"/>
      <c r="I145" s="545"/>
      <c r="J145" s="533"/>
      <c r="K145" s="533"/>
      <c r="L145" s="533"/>
      <c r="P145" s="599"/>
      <c r="Q145" s="599"/>
      <c r="R145" s="599"/>
      <c r="S145" s="599"/>
      <c r="T145" s="599"/>
      <c r="U145" s="599"/>
      <c r="V145" s="599"/>
      <c r="W145" s="599"/>
      <c r="X145" s="599"/>
      <c r="Y145" s="599"/>
      <c r="Z145" s="599"/>
      <c r="AA145" s="599"/>
      <c r="AB145" s="599"/>
      <c r="AC145" s="599"/>
    </row>
    <row r="146" spans="1:30" s="596" customFormat="1" x14ac:dyDescent="0.2">
      <c r="E146" s="590"/>
      <c r="F146" s="597"/>
      <c r="G146" s="533"/>
      <c r="H146" s="533"/>
      <c r="I146" s="545"/>
      <c r="J146" s="533"/>
      <c r="K146" s="533"/>
      <c r="L146" s="533"/>
      <c r="P146" s="599"/>
      <c r="Q146" s="599"/>
      <c r="R146" s="599"/>
      <c r="S146" s="599"/>
      <c r="T146" s="599"/>
      <c r="U146" s="599"/>
      <c r="V146" s="599"/>
      <c r="W146" s="599"/>
      <c r="X146" s="599"/>
      <c r="Y146" s="599"/>
      <c r="Z146" s="599"/>
      <c r="AA146" s="599"/>
      <c r="AB146" s="599"/>
      <c r="AC146" s="599"/>
    </row>
    <row r="147" spans="1:30" x14ac:dyDescent="0.2">
      <c r="A147" s="596"/>
      <c r="B147" s="596"/>
      <c r="C147" s="596"/>
      <c r="D147" s="596"/>
      <c r="E147" s="590"/>
      <c r="F147" s="597"/>
      <c r="G147" s="533"/>
      <c r="H147" s="533"/>
      <c r="I147" s="545"/>
      <c r="J147" s="533"/>
      <c r="K147" s="533"/>
      <c r="L147" s="533"/>
      <c r="M147" s="596"/>
      <c r="N147" s="596"/>
      <c r="O147" s="596"/>
      <c r="P147" s="599"/>
      <c r="Q147" s="599"/>
      <c r="R147" s="599"/>
      <c r="S147" s="599"/>
      <c r="T147" s="599"/>
      <c r="U147" s="599"/>
      <c r="V147" s="599"/>
      <c r="W147" s="599"/>
      <c r="X147" s="599"/>
      <c r="Y147" s="599"/>
      <c r="Z147" s="599"/>
      <c r="AA147" s="599"/>
      <c r="AB147" s="599"/>
      <c r="AC147" s="599"/>
      <c r="AD147" s="596"/>
    </row>
    <row r="148" spans="1:30" x14ac:dyDescent="0.2">
      <c r="A148" s="596"/>
      <c r="B148" s="596"/>
      <c r="C148" s="596"/>
      <c r="D148" s="596"/>
      <c r="E148" s="590"/>
      <c r="F148" s="597"/>
      <c r="G148" s="533"/>
      <c r="H148" s="533"/>
      <c r="I148" s="545"/>
      <c r="J148" s="533"/>
      <c r="K148" s="533"/>
      <c r="L148" s="533"/>
      <c r="M148" s="596"/>
      <c r="N148" s="596"/>
      <c r="O148" s="596"/>
      <c r="P148" s="599"/>
      <c r="Q148" s="599"/>
      <c r="R148" s="599"/>
      <c r="S148" s="599"/>
      <c r="T148" s="599"/>
      <c r="U148" s="599"/>
      <c r="V148" s="599"/>
      <c r="W148" s="599"/>
      <c r="X148" s="599"/>
      <c r="Y148" s="599"/>
      <c r="Z148" s="599"/>
      <c r="AA148" s="599"/>
      <c r="AB148" s="599"/>
      <c r="AC148" s="599"/>
      <c r="AD148" s="596"/>
    </row>
    <row r="149" spans="1:30" x14ac:dyDescent="0.2">
      <c r="A149" s="596"/>
      <c r="B149" s="596"/>
      <c r="C149" s="596"/>
      <c r="D149" s="596"/>
      <c r="E149" s="590"/>
      <c r="F149" s="597"/>
      <c r="G149" s="533"/>
      <c r="H149" s="533"/>
      <c r="I149" s="545"/>
      <c r="J149" s="533"/>
      <c r="K149" s="533"/>
      <c r="L149" s="533"/>
      <c r="M149" s="596"/>
      <c r="N149" s="596"/>
      <c r="O149" s="596"/>
      <c r="P149" s="599"/>
      <c r="Q149" s="599"/>
      <c r="R149" s="599"/>
      <c r="S149" s="599"/>
      <c r="T149" s="599"/>
      <c r="U149" s="599"/>
      <c r="V149" s="599"/>
      <c r="W149" s="599"/>
      <c r="X149" s="599"/>
      <c r="Y149" s="599"/>
      <c r="Z149" s="599"/>
      <c r="AA149" s="599"/>
      <c r="AB149" s="599"/>
      <c r="AC149" s="599"/>
      <c r="AD149" s="596"/>
    </row>
    <row r="150" spans="1:30" x14ac:dyDescent="0.2">
      <c r="A150" s="596"/>
      <c r="B150" s="596"/>
      <c r="C150" s="596"/>
      <c r="D150" s="596"/>
      <c r="E150" s="590"/>
      <c r="F150" s="597"/>
      <c r="G150" s="533"/>
      <c r="H150" s="533"/>
      <c r="I150" s="545"/>
      <c r="J150" s="533"/>
      <c r="K150" s="533"/>
      <c r="L150" s="533"/>
      <c r="M150" s="596"/>
      <c r="N150" s="596"/>
      <c r="O150" s="596"/>
      <c r="P150" s="599"/>
      <c r="Q150" s="599"/>
      <c r="R150" s="599"/>
      <c r="S150" s="599"/>
      <c r="T150" s="599"/>
      <c r="U150" s="599"/>
      <c r="V150" s="599"/>
      <c r="W150" s="599"/>
      <c r="X150" s="599"/>
      <c r="Y150" s="599"/>
      <c r="Z150" s="599"/>
      <c r="AA150" s="599"/>
      <c r="AB150" s="599"/>
      <c r="AC150" s="599"/>
      <c r="AD150" s="596"/>
    </row>
    <row r="151" spans="1:30" x14ac:dyDescent="0.2">
      <c r="A151" s="596"/>
      <c r="B151" s="596"/>
      <c r="C151" s="596"/>
      <c r="D151" s="596"/>
      <c r="E151" s="590"/>
      <c r="F151" s="597"/>
      <c r="G151" s="533"/>
      <c r="H151" s="533"/>
      <c r="I151" s="545"/>
      <c r="J151" s="533"/>
      <c r="K151" s="533"/>
      <c r="L151" s="533"/>
      <c r="M151" s="596"/>
      <c r="N151" s="596"/>
      <c r="O151" s="596"/>
      <c r="P151" s="599"/>
      <c r="Q151" s="599"/>
      <c r="R151" s="599"/>
      <c r="S151" s="599"/>
      <c r="T151" s="599"/>
      <c r="U151" s="599"/>
      <c r="V151" s="599"/>
      <c r="W151" s="599"/>
      <c r="X151" s="599"/>
      <c r="Y151" s="599"/>
      <c r="Z151" s="599"/>
      <c r="AA151" s="599"/>
      <c r="AB151" s="599"/>
      <c r="AC151" s="599"/>
      <c r="AD151" s="596"/>
    </row>
    <row r="152" spans="1:30" x14ac:dyDescent="0.2">
      <c r="A152" s="596"/>
      <c r="B152" s="596"/>
      <c r="C152" s="596"/>
      <c r="D152" s="596"/>
      <c r="E152" s="590"/>
      <c r="F152" s="597"/>
      <c r="G152" s="533"/>
      <c r="H152" s="533"/>
      <c r="I152" s="545"/>
      <c r="J152" s="533"/>
      <c r="K152" s="533"/>
      <c r="L152" s="533"/>
      <c r="M152" s="596"/>
      <c r="N152" s="596"/>
      <c r="O152" s="596"/>
      <c r="P152" s="599"/>
      <c r="Q152" s="599"/>
      <c r="R152" s="599"/>
      <c r="S152" s="599"/>
      <c r="T152" s="599"/>
      <c r="U152" s="599"/>
      <c r="V152" s="599"/>
      <c r="W152" s="599"/>
      <c r="X152" s="599"/>
      <c r="Y152" s="599"/>
      <c r="Z152" s="599"/>
      <c r="AA152" s="599"/>
      <c r="AB152" s="599"/>
      <c r="AC152" s="599"/>
      <c r="AD152" s="596"/>
    </row>
    <row r="153" spans="1:30" x14ac:dyDescent="0.2">
      <c r="A153" s="596"/>
      <c r="B153" s="596"/>
      <c r="C153" s="596"/>
      <c r="D153" s="596"/>
      <c r="E153" s="590"/>
      <c r="F153" s="597"/>
      <c r="G153" s="533"/>
      <c r="H153" s="533"/>
      <c r="I153" s="545"/>
      <c r="J153" s="533"/>
      <c r="K153" s="533"/>
      <c r="L153" s="533"/>
      <c r="M153" s="596"/>
      <c r="N153" s="596"/>
      <c r="O153" s="596"/>
      <c r="P153" s="599"/>
      <c r="Q153" s="599"/>
      <c r="R153" s="599"/>
      <c r="S153" s="599"/>
      <c r="T153" s="599"/>
      <c r="U153" s="599"/>
      <c r="V153" s="599"/>
      <c r="W153" s="599"/>
      <c r="X153" s="599"/>
      <c r="Y153" s="599"/>
      <c r="Z153" s="599"/>
      <c r="AA153" s="599"/>
      <c r="AB153" s="599"/>
      <c r="AC153" s="599"/>
      <c r="AD153" s="596"/>
    </row>
    <row r="154" spans="1:30" x14ac:dyDescent="0.2">
      <c r="A154" s="596"/>
      <c r="B154" s="596"/>
      <c r="C154" s="596"/>
      <c r="D154" s="596"/>
      <c r="E154" s="590"/>
      <c r="F154" s="597"/>
      <c r="G154" s="533"/>
      <c r="H154" s="533"/>
      <c r="I154" s="545"/>
      <c r="J154" s="533"/>
      <c r="K154" s="533"/>
      <c r="L154" s="533"/>
      <c r="M154" s="596"/>
      <c r="N154" s="596"/>
      <c r="O154" s="596"/>
      <c r="P154" s="599"/>
      <c r="Q154" s="599"/>
      <c r="R154" s="599"/>
      <c r="S154" s="599"/>
      <c r="T154" s="599"/>
      <c r="U154" s="599"/>
      <c r="V154" s="599"/>
      <c r="W154" s="599"/>
      <c r="X154" s="599"/>
      <c r="Y154" s="599"/>
      <c r="Z154" s="599"/>
      <c r="AA154" s="599"/>
      <c r="AB154" s="599"/>
      <c r="AC154" s="599"/>
      <c r="AD154" s="596"/>
    </row>
    <row r="155" spans="1:30" x14ac:dyDescent="0.2">
      <c r="A155" s="596"/>
      <c r="B155" s="596"/>
      <c r="C155" s="596"/>
      <c r="D155" s="596"/>
      <c r="E155" s="590"/>
      <c r="F155" s="597"/>
      <c r="G155" s="533"/>
      <c r="H155" s="533"/>
      <c r="I155" s="545"/>
      <c r="J155" s="533"/>
      <c r="K155" s="533"/>
      <c r="L155" s="533"/>
      <c r="M155" s="596"/>
      <c r="N155" s="596"/>
      <c r="O155" s="596"/>
      <c r="P155" s="599"/>
      <c r="Q155" s="599"/>
      <c r="R155" s="599"/>
      <c r="S155" s="599"/>
      <c r="T155" s="599"/>
      <c r="U155" s="599"/>
      <c r="V155" s="599"/>
      <c r="W155" s="599"/>
      <c r="X155" s="599"/>
      <c r="Y155" s="599"/>
      <c r="Z155" s="599"/>
      <c r="AA155" s="599"/>
      <c r="AB155" s="599"/>
      <c r="AC155" s="599"/>
      <c r="AD155" s="596"/>
    </row>
    <row r="156" spans="1:30" x14ac:dyDescent="0.2">
      <c r="A156" s="596"/>
      <c r="B156" s="596"/>
      <c r="C156" s="596"/>
      <c r="D156" s="596"/>
      <c r="E156" s="590"/>
      <c r="F156" s="597"/>
      <c r="G156" s="533"/>
      <c r="H156" s="533"/>
      <c r="I156" s="545"/>
      <c r="J156" s="533"/>
      <c r="K156" s="533"/>
      <c r="L156" s="533"/>
      <c r="M156" s="596"/>
      <c r="N156" s="596"/>
      <c r="O156" s="596"/>
      <c r="P156" s="599"/>
      <c r="Q156" s="599"/>
      <c r="R156" s="599"/>
      <c r="S156" s="599"/>
      <c r="T156" s="599"/>
      <c r="U156" s="599"/>
      <c r="V156" s="599"/>
      <c r="W156" s="599"/>
      <c r="X156" s="599"/>
      <c r="Y156" s="599"/>
      <c r="Z156" s="599"/>
      <c r="AA156" s="599"/>
      <c r="AB156" s="599"/>
      <c r="AC156" s="599"/>
      <c r="AD156" s="596"/>
    </row>
    <row r="157" spans="1:30" x14ac:dyDescent="0.2">
      <c r="A157" s="596"/>
      <c r="B157" s="596"/>
      <c r="C157" s="596"/>
      <c r="D157" s="596"/>
      <c r="E157" s="590"/>
      <c r="F157" s="597"/>
      <c r="G157" s="533"/>
      <c r="H157" s="533"/>
      <c r="I157" s="545"/>
      <c r="J157" s="533"/>
      <c r="K157" s="533"/>
      <c r="L157" s="533"/>
      <c r="M157" s="596"/>
      <c r="N157" s="596"/>
      <c r="O157" s="596"/>
      <c r="P157" s="599"/>
      <c r="Q157" s="599"/>
      <c r="R157" s="599"/>
      <c r="S157" s="599"/>
      <c r="T157" s="599"/>
      <c r="U157" s="599"/>
      <c r="V157" s="599"/>
      <c r="W157" s="599"/>
      <c r="X157" s="599"/>
      <c r="Y157" s="599"/>
      <c r="Z157" s="599"/>
      <c r="AA157" s="599"/>
      <c r="AB157" s="599"/>
      <c r="AC157" s="599"/>
      <c r="AD157" s="596"/>
    </row>
    <row r="158" spans="1:30" x14ac:dyDescent="0.2">
      <c r="A158" s="596"/>
      <c r="B158" s="596"/>
      <c r="C158" s="596"/>
      <c r="D158" s="596"/>
      <c r="E158" s="590"/>
      <c r="F158" s="597"/>
      <c r="G158" s="533"/>
      <c r="H158" s="533"/>
      <c r="I158" s="545"/>
      <c r="J158" s="533"/>
      <c r="K158" s="533"/>
      <c r="L158" s="533"/>
      <c r="M158" s="596"/>
      <c r="N158" s="596"/>
      <c r="O158" s="596"/>
      <c r="P158" s="599"/>
      <c r="Q158" s="599"/>
      <c r="R158" s="599"/>
      <c r="S158" s="599"/>
      <c r="T158" s="599"/>
      <c r="U158" s="599"/>
      <c r="V158" s="599"/>
      <c r="W158" s="599"/>
      <c r="X158" s="599"/>
      <c r="Y158" s="599"/>
      <c r="Z158" s="599"/>
      <c r="AA158" s="599"/>
      <c r="AB158" s="599"/>
      <c r="AC158" s="599"/>
      <c r="AD158" s="596"/>
    </row>
    <row r="159" spans="1:30" x14ac:dyDescent="0.2">
      <c r="A159" s="596"/>
      <c r="B159" s="596"/>
      <c r="C159" s="596"/>
      <c r="D159" s="596"/>
      <c r="E159" s="590"/>
      <c r="F159" s="597"/>
      <c r="G159" s="533"/>
      <c r="H159" s="533"/>
      <c r="I159" s="545"/>
      <c r="J159" s="533"/>
      <c r="K159" s="533"/>
      <c r="L159" s="533"/>
      <c r="M159" s="596"/>
      <c r="N159" s="596"/>
      <c r="O159" s="596"/>
      <c r="P159" s="599"/>
      <c r="Q159" s="599"/>
      <c r="R159" s="599"/>
      <c r="S159" s="599"/>
      <c r="T159" s="599"/>
      <c r="U159" s="599"/>
      <c r="V159" s="599"/>
      <c r="W159" s="599"/>
      <c r="X159" s="599"/>
      <c r="Y159" s="599"/>
      <c r="Z159" s="599"/>
      <c r="AA159" s="599"/>
      <c r="AB159" s="599"/>
      <c r="AC159" s="599"/>
      <c r="AD159" s="596"/>
    </row>
    <row r="160" spans="1:30" x14ac:dyDescent="0.2">
      <c r="A160" s="596"/>
      <c r="B160" s="596"/>
      <c r="C160" s="596"/>
      <c r="D160" s="596"/>
      <c r="E160" s="590"/>
      <c r="F160" s="597"/>
      <c r="G160" s="533"/>
      <c r="H160" s="533"/>
      <c r="I160" s="545"/>
      <c r="J160" s="533"/>
      <c r="K160" s="533"/>
      <c r="L160" s="533"/>
      <c r="M160" s="596"/>
      <c r="N160" s="596"/>
      <c r="O160" s="596"/>
      <c r="P160" s="599"/>
      <c r="Q160" s="599"/>
      <c r="R160" s="599"/>
      <c r="S160" s="599"/>
      <c r="T160" s="599"/>
      <c r="U160" s="599"/>
      <c r="V160" s="599"/>
      <c r="W160" s="599"/>
      <c r="X160" s="599"/>
      <c r="Y160" s="599"/>
      <c r="Z160" s="599"/>
      <c r="AA160" s="599"/>
      <c r="AB160" s="599"/>
      <c r="AC160" s="599"/>
      <c r="AD160" s="596"/>
    </row>
    <row r="161" spans="1:30" x14ac:dyDescent="0.2">
      <c r="A161" s="596"/>
      <c r="B161" s="596"/>
      <c r="C161" s="596"/>
      <c r="D161" s="596"/>
      <c r="E161" s="590"/>
      <c r="F161" s="597"/>
      <c r="G161" s="533"/>
      <c r="H161" s="533"/>
      <c r="I161" s="545"/>
      <c r="J161" s="533"/>
      <c r="K161" s="533"/>
      <c r="L161" s="533"/>
      <c r="M161" s="596"/>
      <c r="N161" s="596"/>
      <c r="O161" s="596"/>
      <c r="P161" s="599"/>
      <c r="Q161" s="599"/>
      <c r="R161" s="599"/>
      <c r="S161" s="599"/>
      <c r="T161" s="599"/>
      <c r="U161" s="599"/>
      <c r="V161" s="599"/>
      <c r="W161" s="599"/>
      <c r="X161" s="599"/>
      <c r="Y161" s="599"/>
      <c r="Z161" s="599"/>
      <c r="AA161" s="599"/>
      <c r="AB161" s="599"/>
      <c r="AC161" s="599"/>
      <c r="AD161" s="596"/>
    </row>
    <row r="162" spans="1:30" x14ac:dyDescent="0.2">
      <c r="A162" s="596"/>
      <c r="B162" s="596"/>
      <c r="C162" s="596"/>
      <c r="D162" s="596"/>
      <c r="E162" s="590"/>
      <c r="F162" s="597"/>
      <c r="G162" s="533"/>
      <c r="H162" s="533"/>
      <c r="I162" s="545"/>
      <c r="J162" s="533"/>
      <c r="K162" s="533"/>
      <c r="L162" s="533"/>
      <c r="M162" s="596"/>
      <c r="N162" s="596"/>
      <c r="O162" s="596"/>
      <c r="P162" s="599"/>
      <c r="Q162" s="599"/>
      <c r="R162" s="599"/>
      <c r="S162" s="599"/>
      <c r="T162" s="599"/>
      <c r="U162" s="599"/>
      <c r="V162" s="599"/>
      <c r="W162" s="599"/>
      <c r="X162" s="599"/>
      <c r="Y162" s="599"/>
      <c r="Z162" s="599"/>
      <c r="AA162" s="599"/>
      <c r="AB162" s="599"/>
      <c r="AC162" s="599"/>
      <c r="AD162" s="596"/>
    </row>
    <row r="163" spans="1:30" x14ac:dyDescent="0.2">
      <c r="A163" s="596"/>
      <c r="B163" s="596"/>
      <c r="C163" s="596"/>
      <c r="D163" s="596"/>
      <c r="E163" s="590"/>
      <c r="F163" s="597"/>
      <c r="G163" s="533"/>
      <c r="H163" s="533"/>
      <c r="I163" s="545"/>
      <c r="J163" s="533"/>
      <c r="K163" s="533"/>
      <c r="L163" s="533"/>
      <c r="M163" s="596"/>
      <c r="N163" s="596"/>
      <c r="O163" s="596"/>
      <c r="P163" s="599"/>
      <c r="Q163" s="599"/>
      <c r="R163" s="599"/>
      <c r="S163" s="599"/>
      <c r="T163" s="599"/>
      <c r="U163" s="599"/>
      <c r="V163" s="599"/>
      <c r="W163" s="599"/>
      <c r="X163" s="599"/>
      <c r="Y163" s="599"/>
      <c r="Z163" s="599"/>
      <c r="AA163" s="599"/>
      <c r="AB163" s="599"/>
      <c r="AC163" s="599"/>
      <c r="AD163" s="596"/>
    </row>
    <row r="164" spans="1:30" x14ac:dyDescent="0.2">
      <c r="A164" s="596"/>
      <c r="B164" s="596"/>
      <c r="C164" s="596"/>
      <c r="D164" s="596"/>
      <c r="E164" s="590"/>
      <c r="F164" s="597"/>
      <c r="G164" s="533"/>
      <c r="H164" s="533"/>
      <c r="I164" s="545"/>
      <c r="J164" s="533"/>
      <c r="K164" s="533"/>
      <c r="L164" s="533"/>
      <c r="M164" s="596"/>
      <c r="N164" s="596"/>
      <c r="O164" s="596"/>
      <c r="P164" s="599"/>
      <c r="Q164" s="599"/>
      <c r="R164" s="599"/>
      <c r="S164" s="599"/>
      <c r="T164" s="599"/>
      <c r="U164" s="599"/>
      <c r="V164" s="599"/>
      <c r="W164" s="599"/>
      <c r="X164" s="599"/>
      <c r="Y164" s="599"/>
      <c r="Z164" s="599"/>
      <c r="AA164" s="599"/>
      <c r="AB164" s="599"/>
      <c r="AC164" s="599"/>
      <c r="AD164" s="596"/>
    </row>
    <row r="165" spans="1:30" x14ac:dyDescent="0.2">
      <c r="A165" s="596"/>
      <c r="B165" s="596"/>
      <c r="C165" s="596"/>
      <c r="D165" s="596"/>
      <c r="E165" s="590"/>
      <c r="F165" s="597"/>
      <c r="G165" s="533"/>
      <c r="H165" s="533"/>
      <c r="I165" s="545"/>
      <c r="J165" s="533"/>
      <c r="K165" s="533"/>
      <c r="L165" s="533"/>
      <c r="M165" s="596"/>
      <c r="N165" s="596"/>
      <c r="O165" s="596"/>
      <c r="P165" s="599"/>
      <c r="Q165" s="599"/>
      <c r="R165" s="599"/>
      <c r="S165" s="599"/>
      <c r="T165" s="599"/>
      <c r="U165" s="599"/>
      <c r="V165" s="599"/>
      <c r="W165" s="599"/>
      <c r="X165" s="599"/>
      <c r="Y165" s="599"/>
      <c r="Z165" s="599"/>
      <c r="AA165" s="599"/>
      <c r="AB165" s="599"/>
      <c r="AC165" s="599"/>
      <c r="AD165" s="596"/>
    </row>
    <row r="166" spans="1:30" x14ac:dyDescent="0.2">
      <c r="A166" s="596"/>
      <c r="B166" s="596"/>
      <c r="C166" s="596"/>
      <c r="D166" s="596"/>
      <c r="E166" s="590"/>
      <c r="F166" s="597"/>
      <c r="G166" s="533"/>
      <c r="H166" s="533"/>
      <c r="I166" s="545"/>
      <c r="J166" s="533"/>
      <c r="K166" s="533"/>
      <c r="L166" s="533"/>
      <c r="M166" s="596"/>
      <c r="N166" s="596"/>
      <c r="O166" s="596"/>
      <c r="P166" s="599"/>
      <c r="Q166" s="599"/>
      <c r="R166" s="599"/>
      <c r="S166" s="599"/>
      <c r="T166" s="599"/>
      <c r="U166" s="599"/>
      <c r="V166" s="599"/>
      <c r="W166" s="599"/>
      <c r="X166" s="599"/>
      <c r="Y166" s="599"/>
      <c r="Z166" s="599"/>
      <c r="AA166" s="599"/>
      <c r="AB166" s="599"/>
      <c r="AC166" s="599"/>
      <c r="AD166" s="596"/>
    </row>
    <row r="167" spans="1:30" x14ac:dyDescent="0.2">
      <c r="A167" s="596"/>
      <c r="B167" s="596"/>
      <c r="C167" s="596"/>
      <c r="D167" s="596"/>
      <c r="E167" s="590"/>
      <c r="F167" s="597"/>
      <c r="G167" s="533"/>
      <c r="H167" s="533"/>
      <c r="I167" s="545"/>
      <c r="J167" s="533"/>
      <c r="K167" s="533"/>
      <c r="L167" s="533"/>
      <c r="M167" s="596"/>
      <c r="N167" s="596"/>
      <c r="O167" s="596"/>
      <c r="P167" s="599"/>
      <c r="Q167" s="599"/>
      <c r="R167" s="599"/>
      <c r="S167" s="599"/>
      <c r="T167" s="599"/>
      <c r="U167" s="599"/>
      <c r="V167" s="599"/>
      <c r="W167" s="599"/>
      <c r="X167" s="599"/>
      <c r="Y167" s="599"/>
      <c r="Z167" s="599"/>
      <c r="AA167" s="599"/>
      <c r="AB167" s="599"/>
      <c r="AC167" s="599"/>
      <c r="AD167" s="596"/>
    </row>
    <row r="168" spans="1:30" x14ac:dyDescent="0.2">
      <c r="A168" s="596"/>
      <c r="B168" s="596"/>
      <c r="C168" s="596"/>
      <c r="D168" s="596"/>
      <c r="E168" s="590"/>
      <c r="F168" s="597"/>
      <c r="G168" s="533"/>
      <c r="H168" s="533"/>
      <c r="I168" s="545"/>
      <c r="J168" s="533"/>
      <c r="K168" s="533"/>
      <c r="L168" s="533"/>
      <c r="M168" s="596"/>
      <c r="N168" s="596"/>
      <c r="O168" s="596"/>
      <c r="P168" s="599"/>
      <c r="Q168" s="599"/>
      <c r="R168" s="599"/>
      <c r="S168" s="599"/>
      <c r="T168" s="599"/>
      <c r="U168" s="599"/>
      <c r="V168" s="599"/>
      <c r="W168" s="599"/>
      <c r="X168" s="599"/>
      <c r="Y168" s="599"/>
      <c r="Z168" s="599"/>
      <c r="AA168" s="599"/>
      <c r="AB168" s="599"/>
      <c r="AC168" s="599"/>
      <c r="AD168" s="596"/>
    </row>
    <row r="169" spans="1:30" x14ac:dyDescent="0.2">
      <c r="A169" s="596"/>
      <c r="B169" s="596"/>
      <c r="C169" s="596"/>
      <c r="D169" s="596"/>
      <c r="E169" s="590"/>
      <c r="F169" s="597"/>
      <c r="G169" s="533"/>
      <c r="H169" s="533"/>
      <c r="I169" s="545"/>
      <c r="J169" s="533"/>
      <c r="K169" s="533"/>
      <c r="L169" s="533"/>
      <c r="M169" s="596"/>
      <c r="N169" s="596"/>
      <c r="O169" s="596"/>
      <c r="P169" s="599"/>
      <c r="Q169" s="599"/>
      <c r="R169" s="599"/>
      <c r="S169" s="599"/>
      <c r="T169" s="599"/>
      <c r="U169" s="599"/>
      <c r="V169" s="599"/>
      <c r="W169" s="599"/>
      <c r="X169" s="599"/>
      <c r="Y169" s="599"/>
      <c r="Z169" s="599"/>
      <c r="AA169" s="599"/>
      <c r="AB169" s="599"/>
      <c r="AC169" s="599"/>
      <c r="AD169" s="596"/>
    </row>
    <row r="170" spans="1:30" x14ac:dyDescent="0.2">
      <c r="A170" s="596"/>
      <c r="B170" s="596"/>
      <c r="C170" s="596"/>
      <c r="D170" s="596"/>
      <c r="E170" s="590"/>
      <c r="F170" s="597"/>
      <c r="G170" s="533"/>
      <c r="H170" s="533"/>
      <c r="I170" s="545"/>
      <c r="J170" s="533"/>
      <c r="K170" s="533"/>
      <c r="L170" s="533"/>
      <c r="M170" s="596"/>
      <c r="N170" s="596"/>
      <c r="O170" s="596"/>
      <c r="P170" s="599"/>
      <c r="Q170" s="599"/>
      <c r="R170" s="599"/>
      <c r="S170" s="599"/>
      <c r="T170" s="599"/>
      <c r="U170" s="599"/>
      <c r="V170" s="599"/>
      <c r="W170" s="599"/>
      <c r="X170" s="599"/>
      <c r="Y170" s="599"/>
      <c r="Z170" s="599"/>
      <c r="AA170" s="599"/>
      <c r="AB170" s="599"/>
      <c r="AC170" s="599"/>
      <c r="AD170" s="596"/>
    </row>
    <row r="171" spans="1:30" x14ac:dyDescent="0.2">
      <c r="A171" s="596"/>
      <c r="B171" s="596"/>
      <c r="C171" s="596"/>
      <c r="D171" s="596"/>
      <c r="E171" s="590"/>
      <c r="F171" s="597"/>
      <c r="G171" s="533"/>
      <c r="H171" s="533"/>
      <c r="I171" s="545"/>
      <c r="J171" s="533"/>
      <c r="K171" s="533"/>
      <c r="L171" s="533"/>
      <c r="M171" s="596"/>
      <c r="N171" s="596"/>
      <c r="O171" s="596"/>
      <c r="P171" s="599"/>
      <c r="Q171" s="599"/>
      <c r="R171" s="599"/>
      <c r="S171" s="599"/>
      <c r="T171" s="599"/>
      <c r="U171" s="599"/>
      <c r="V171" s="599"/>
      <c r="W171" s="599"/>
      <c r="X171" s="599"/>
      <c r="Y171" s="599"/>
      <c r="Z171" s="599"/>
      <c r="AA171" s="599"/>
      <c r="AB171" s="599"/>
      <c r="AC171" s="599"/>
      <c r="AD171" s="596"/>
    </row>
    <row r="172" spans="1:30" x14ac:dyDescent="0.2">
      <c r="A172" s="596"/>
      <c r="B172" s="596"/>
      <c r="C172" s="596"/>
      <c r="D172" s="596"/>
      <c r="E172" s="590"/>
      <c r="F172" s="597"/>
      <c r="G172" s="533"/>
      <c r="H172" s="533"/>
      <c r="I172" s="545"/>
      <c r="J172" s="533"/>
      <c r="K172" s="533"/>
      <c r="L172" s="533"/>
      <c r="M172" s="596"/>
      <c r="N172" s="596"/>
      <c r="O172" s="596"/>
      <c r="P172" s="599"/>
      <c r="Q172" s="599"/>
      <c r="R172" s="599"/>
      <c r="S172" s="599"/>
      <c r="T172" s="599"/>
      <c r="U172" s="599"/>
      <c r="V172" s="599"/>
      <c r="W172" s="599"/>
      <c r="X172" s="599"/>
      <c r="Y172" s="599"/>
      <c r="Z172" s="599"/>
      <c r="AA172" s="599"/>
      <c r="AB172" s="599"/>
      <c r="AC172" s="599"/>
      <c r="AD172" s="596"/>
    </row>
    <row r="173" spans="1:30" x14ac:dyDescent="0.2">
      <c r="A173" s="596"/>
      <c r="B173" s="596"/>
      <c r="C173" s="596"/>
      <c r="D173" s="596"/>
      <c r="E173" s="590"/>
      <c r="F173" s="597"/>
      <c r="G173" s="533"/>
      <c r="H173" s="533"/>
      <c r="I173" s="545"/>
      <c r="J173" s="533"/>
      <c r="K173" s="533"/>
      <c r="L173" s="533"/>
      <c r="M173" s="596"/>
      <c r="N173" s="596"/>
      <c r="O173" s="596"/>
      <c r="P173" s="599"/>
      <c r="Q173" s="599"/>
    </row>
    <row r="174" spans="1:30" x14ac:dyDescent="0.2">
      <c r="A174" s="596"/>
      <c r="B174" s="596"/>
      <c r="C174" s="596"/>
      <c r="D174" s="596"/>
      <c r="E174" s="590"/>
      <c r="F174" s="597"/>
      <c r="G174" s="533"/>
      <c r="H174" s="533"/>
      <c r="I174" s="545"/>
      <c r="J174" s="533"/>
      <c r="K174" s="533"/>
      <c r="L174" s="533"/>
      <c r="M174" s="596"/>
      <c r="N174" s="596"/>
      <c r="O174" s="596"/>
      <c r="P174" s="599"/>
      <c r="Q174" s="599"/>
    </row>
    <row r="175" spans="1:30" x14ac:dyDescent="0.2">
      <c r="A175" s="596"/>
      <c r="B175" s="596"/>
      <c r="C175" s="596"/>
      <c r="D175" s="596"/>
      <c r="E175" s="590"/>
      <c r="F175" s="597"/>
      <c r="G175" s="533"/>
      <c r="H175" s="533"/>
      <c r="I175" s="545"/>
      <c r="J175" s="533"/>
      <c r="K175" s="533"/>
      <c r="L175" s="533"/>
      <c r="M175" s="596"/>
      <c r="N175" s="596"/>
      <c r="O175" s="596"/>
      <c r="P175" s="599"/>
      <c r="Q175" s="599"/>
    </row>
    <row r="176" spans="1:30" x14ac:dyDescent="0.2">
      <c r="A176" s="596"/>
      <c r="B176" s="596"/>
      <c r="C176" s="596"/>
      <c r="D176" s="596"/>
      <c r="E176" s="590"/>
      <c r="F176" s="597"/>
      <c r="G176" s="533"/>
      <c r="H176" s="533"/>
      <c r="I176" s="545"/>
      <c r="J176" s="533"/>
      <c r="K176" s="533"/>
      <c r="L176" s="533"/>
      <c r="M176" s="596"/>
      <c r="N176" s="596"/>
      <c r="O176" s="596"/>
      <c r="P176" s="599"/>
      <c r="Q176" s="599"/>
    </row>
    <row r="177" spans="1:17" x14ac:dyDescent="0.2">
      <c r="A177" s="596"/>
      <c r="B177" s="596"/>
      <c r="C177" s="596"/>
      <c r="D177" s="596"/>
      <c r="E177" s="590"/>
      <c r="F177" s="597"/>
      <c r="G177" s="533"/>
      <c r="H177" s="533"/>
      <c r="I177" s="545"/>
      <c r="J177" s="533"/>
      <c r="K177" s="533"/>
      <c r="L177" s="533"/>
      <c r="M177" s="596"/>
      <c r="N177" s="596"/>
      <c r="O177" s="596"/>
      <c r="P177" s="599"/>
      <c r="Q177" s="599"/>
    </row>
    <row r="178" spans="1:17" x14ac:dyDescent="0.2">
      <c r="A178" s="596"/>
      <c r="B178" s="596"/>
      <c r="C178" s="596"/>
      <c r="D178" s="596"/>
      <c r="E178" s="590"/>
      <c r="F178" s="597"/>
      <c r="G178" s="533"/>
      <c r="H178" s="533"/>
      <c r="I178" s="545"/>
      <c r="J178" s="533"/>
      <c r="K178" s="533"/>
      <c r="L178" s="533"/>
      <c r="M178" s="596"/>
    </row>
    <row r="179" spans="1:17" x14ac:dyDescent="0.2">
      <c r="A179" s="596"/>
      <c r="B179" s="596"/>
      <c r="C179" s="596"/>
      <c r="D179" s="596"/>
      <c r="E179" s="590"/>
      <c r="F179" s="597"/>
      <c r="G179" s="533"/>
      <c r="H179" s="533"/>
      <c r="I179" s="545"/>
      <c r="J179" s="533"/>
      <c r="K179" s="533"/>
      <c r="L179" s="533"/>
      <c r="M179" s="596"/>
    </row>
    <row r="180" spans="1:17" x14ac:dyDescent="0.2">
      <c r="A180" s="596"/>
      <c r="B180" s="596"/>
      <c r="C180" s="596"/>
      <c r="D180" s="596"/>
      <c r="E180" s="590"/>
      <c r="F180" s="597"/>
      <c r="G180" s="533"/>
      <c r="H180" s="533"/>
      <c r="I180" s="545"/>
      <c r="J180" s="533"/>
      <c r="K180" s="533"/>
      <c r="L180" s="533"/>
      <c r="M180" s="596"/>
    </row>
    <row r="181" spans="1:17" x14ac:dyDescent="0.2">
      <c r="A181" s="596"/>
      <c r="B181" s="596"/>
      <c r="C181" s="596"/>
      <c r="D181" s="596"/>
      <c r="E181" s="590"/>
      <c r="F181" s="597"/>
      <c r="G181" s="533"/>
      <c r="H181" s="533"/>
      <c r="I181" s="545"/>
      <c r="J181" s="533"/>
      <c r="K181" s="533"/>
      <c r="L181" s="533"/>
      <c r="M181" s="596"/>
    </row>
    <row r="182" spans="1:17" x14ac:dyDescent="0.2">
      <c r="J182" s="533"/>
      <c r="K182" s="533"/>
      <c r="L182" s="533"/>
      <c r="M182" s="596"/>
    </row>
    <row r="183" spans="1:17" x14ac:dyDescent="0.2">
      <c r="J183" s="533"/>
      <c r="K183" s="533"/>
      <c r="L183" s="533"/>
      <c r="M183" s="596"/>
    </row>
    <row r="184" spans="1:17" x14ac:dyDescent="0.2">
      <c r="J184" s="533"/>
      <c r="K184" s="533"/>
      <c r="L184" s="533"/>
      <c r="M184" s="596"/>
    </row>
    <row r="185" spans="1:17" x14ac:dyDescent="0.2">
      <c r="J185" s="533"/>
      <c r="K185" s="533"/>
      <c r="L185" s="533"/>
      <c r="M185" s="596"/>
    </row>
    <row r="186" spans="1:17" x14ac:dyDescent="0.2">
      <c r="J186" s="533"/>
      <c r="K186" s="533"/>
      <c r="L186" s="533"/>
      <c r="M186" s="596"/>
    </row>
    <row r="187" spans="1:17" x14ac:dyDescent="0.2">
      <c r="J187" s="533"/>
      <c r="K187" s="533"/>
      <c r="L187" s="533"/>
      <c r="M187" s="596"/>
    </row>
    <row r="188" spans="1:17" x14ac:dyDescent="0.2">
      <c r="K188" s="533"/>
      <c r="L188" s="533"/>
      <c r="M188" s="596"/>
    </row>
    <row r="189" spans="1:17" x14ac:dyDescent="0.2">
      <c r="K189" s="533"/>
      <c r="L189" s="533"/>
      <c r="M189" s="596"/>
    </row>
    <row r="190" spans="1:17" x14ac:dyDescent="0.2">
      <c r="K190" s="533"/>
      <c r="L190" s="533"/>
      <c r="M190" s="596"/>
    </row>
    <row r="191" spans="1:17" x14ac:dyDescent="0.2">
      <c r="L191" s="533"/>
      <c r="M191" s="596"/>
    </row>
    <row r="192" spans="1:17" x14ac:dyDescent="0.2">
      <c r="L192" s="533"/>
      <c r="M192" s="596"/>
    </row>
    <row r="193" spans="12:12" x14ac:dyDescent="0.2">
      <c r="L193" s="533"/>
    </row>
    <row r="194" spans="12:12" x14ac:dyDescent="0.2">
      <c r="L194" s="533"/>
    </row>
    <row r="195" spans="12:12" x14ac:dyDescent="0.2">
      <c r="L195" s="533"/>
    </row>
  </sheetData>
  <mergeCells count="7">
    <mergeCell ref="AB7:AC7"/>
    <mergeCell ref="AE7:AF7"/>
    <mergeCell ref="D9:F9"/>
    <mergeCell ref="H9:K9"/>
    <mergeCell ref="A7:L7"/>
    <mergeCell ref="R7:S7"/>
    <mergeCell ref="T7:AA7"/>
  </mergeCells>
  <conditionalFormatting sqref="P84:P100 AJ9:AJ57">
    <cfRule type="aboveAverage" dxfId="1" priority="1" aboveAverage="0" stdDev="1"/>
    <cfRule type="aboveAverage" dxfId="0" priority="2" stdDev="1"/>
  </conditionalFormatting>
  <dataValidations disablePrompts="1" count="1">
    <dataValidation type="list" allowBlank="1" showInputMessage="1" showErrorMessage="1" sqref="B5" xr:uid="{E874B8C0-C7E6-4544-B7A7-26B3E0545D23}">
      <formula1>$AL$5:$AL$8</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F085C-4A14-49F5-BD8B-B6F18EEB538D}">
  <dimension ref="A1:E14"/>
  <sheetViews>
    <sheetView workbookViewId="0">
      <selection activeCell="D13" sqref="D13"/>
    </sheetView>
  </sheetViews>
  <sheetFormatPr defaultRowHeight="14.4" x14ac:dyDescent="0.3"/>
  <cols>
    <col min="1" max="1" width="12.5546875" style="835" customWidth="1"/>
    <col min="2" max="2" width="21.6640625" style="835" customWidth="1"/>
    <col min="3" max="3" width="14.44140625" style="835" customWidth="1"/>
    <col min="4" max="4" width="65.6640625" style="830" customWidth="1"/>
  </cols>
  <sheetData>
    <row r="1" spans="1:5" x14ac:dyDescent="0.3">
      <c r="A1" s="833" t="s">
        <v>13</v>
      </c>
      <c r="B1" s="833" t="s">
        <v>215</v>
      </c>
      <c r="C1" s="833" t="s">
        <v>213</v>
      </c>
      <c r="D1" s="832" t="s">
        <v>32</v>
      </c>
      <c r="E1" s="831" t="s">
        <v>214</v>
      </c>
    </row>
    <row r="2" spans="1:5" ht="43.2" x14ac:dyDescent="0.3">
      <c r="A2" s="834">
        <v>45659</v>
      </c>
      <c r="B2" s="835" t="s">
        <v>206</v>
      </c>
      <c r="C2" s="835" t="s">
        <v>207</v>
      </c>
      <c r="D2" s="830" t="s">
        <v>212</v>
      </c>
    </row>
    <row r="3" spans="1:5" x14ac:dyDescent="0.3">
      <c r="A3" s="834">
        <v>45661</v>
      </c>
      <c r="B3" s="835" t="s">
        <v>208</v>
      </c>
      <c r="C3" s="835" t="s">
        <v>207</v>
      </c>
    </row>
    <row r="4" spans="1:5" x14ac:dyDescent="0.3">
      <c r="A4" s="834">
        <v>45671</v>
      </c>
      <c r="B4" s="835" t="s">
        <v>211</v>
      </c>
      <c r="C4" s="835" t="s">
        <v>207</v>
      </c>
    </row>
    <row r="5" spans="1:5" ht="72" x14ac:dyDescent="0.3">
      <c r="A5" s="834">
        <v>45671</v>
      </c>
      <c r="B5" s="835" t="s">
        <v>209</v>
      </c>
      <c r="C5" s="835" t="s">
        <v>210</v>
      </c>
      <c r="D5" s="830" t="s">
        <v>216</v>
      </c>
    </row>
    <row r="6" spans="1:5" ht="72" x14ac:dyDescent="0.3">
      <c r="A6" s="834">
        <v>45758</v>
      </c>
      <c r="B6" s="835" t="s">
        <v>217</v>
      </c>
      <c r="C6" s="835" t="s">
        <v>207</v>
      </c>
      <c r="D6" s="830" t="s">
        <v>218</v>
      </c>
    </row>
    <row r="7" spans="1:5" x14ac:dyDescent="0.3">
      <c r="A7" s="834">
        <v>45790</v>
      </c>
      <c r="B7" s="835" t="s">
        <v>208</v>
      </c>
      <c r="C7" s="835" t="s">
        <v>261</v>
      </c>
      <c r="D7" s="830" t="s">
        <v>262</v>
      </c>
    </row>
    <row r="8" spans="1:5" ht="86.4" x14ac:dyDescent="0.3">
      <c r="A8" s="834">
        <v>45790</v>
      </c>
      <c r="B8" s="835" t="s">
        <v>264</v>
      </c>
      <c r="C8" s="835" t="s">
        <v>210</v>
      </c>
      <c r="D8" s="830" t="s">
        <v>267</v>
      </c>
    </row>
    <row r="9" spans="1:5" x14ac:dyDescent="0.3">
      <c r="A9" s="834">
        <v>45790</v>
      </c>
      <c r="B9" s="835" t="s">
        <v>265</v>
      </c>
      <c r="C9" s="835" t="s">
        <v>210</v>
      </c>
      <c r="D9" s="830" t="s">
        <v>266</v>
      </c>
    </row>
    <row r="10" spans="1:5" ht="57.6" x14ac:dyDescent="0.3">
      <c r="A10" s="834">
        <v>45790</v>
      </c>
      <c r="B10" s="835" t="s">
        <v>268</v>
      </c>
      <c r="C10" s="835" t="s">
        <v>210</v>
      </c>
      <c r="D10" s="830" t="s">
        <v>269</v>
      </c>
    </row>
    <row r="11" spans="1:5" ht="57.6" x14ac:dyDescent="0.3">
      <c r="A11" s="834">
        <v>45790</v>
      </c>
      <c r="B11" s="835" t="s">
        <v>273</v>
      </c>
      <c r="C11" s="835" t="s">
        <v>274</v>
      </c>
      <c r="D11" s="830" t="s">
        <v>275</v>
      </c>
    </row>
    <row r="12" spans="1:5" ht="28.8" x14ac:dyDescent="0.3">
      <c r="A12" s="834">
        <v>45791</v>
      </c>
      <c r="B12" s="835" t="s">
        <v>273</v>
      </c>
      <c r="C12" s="835" t="s">
        <v>274</v>
      </c>
      <c r="D12" s="830" t="s">
        <v>276</v>
      </c>
    </row>
    <row r="14" spans="1:5" x14ac:dyDescent="0.3">
      <c r="A14" s="8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0810-1710-4600-880D-3A8C40DFA603}">
  <dimension ref="A3:W25"/>
  <sheetViews>
    <sheetView zoomScale="90" zoomScaleNormal="90" workbookViewId="0">
      <selection activeCell="J9" sqref="J9"/>
    </sheetView>
  </sheetViews>
  <sheetFormatPr defaultColWidth="17.44140625" defaultRowHeight="15.75" customHeight="1" x14ac:dyDescent="0.3"/>
  <cols>
    <col min="1" max="1" width="12.44140625" style="2" customWidth="1"/>
    <col min="2" max="2" width="27.44140625" style="2" customWidth="1"/>
    <col min="3" max="3" width="11.44140625" style="2" customWidth="1"/>
    <col min="4" max="4" width="20" style="2" bestFit="1" customWidth="1"/>
    <col min="5" max="5" width="10.5546875" style="3" bestFit="1" customWidth="1"/>
    <col min="6" max="7" width="13.5546875" style="2" bestFit="1" customWidth="1"/>
    <col min="8" max="8" width="14.44140625" style="2" bestFit="1" customWidth="1"/>
    <col min="9" max="9" width="17.44140625" style="2" bestFit="1"/>
    <col min="10" max="10" width="19.5546875" style="2" bestFit="1" customWidth="1"/>
    <col min="11" max="11" width="16.44140625" style="2" bestFit="1" customWidth="1"/>
    <col min="12" max="12" width="18" style="2" customWidth="1"/>
    <col min="13" max="13" width="22.109375" style="2" customWidth="1"/>
    <col min="14" max="14" width="11.5546875" style="2" bestFit="1" customWidth="1"/>
    <col min="15" max="15" width="11.44140625" style="2" bestFit="1" customWidth="1"/>
    <col min="16" max="17" width="7.88671875" style="2" bestFit="1" customWidth="1"/>
    <col min="18" max="18" width="14.5546875" style="2" bestFit="1" customWidth="1"/>
    <col min="19" max="19" width="20.5546875" style="2" bestFit="1" customWidth="1"/>
    <col min="20" max="20" width="21.33203125" style="2" bestFit="1" customWidth="1"/>
    <col min="21" max="21" width="11.88671875" style="2" bestFit="1" customWidth="1"/>
    <col min="22" max="22" width="17.6640625" style="2" bestFit="1" customWidth="1"/>
    <col min="23" max="16384" width="17.44140625" style="2"/>
  </cols>
  <sheetData>
    <row r="3" spans="1:23" ht="14.4" x14ac:dyDescent="0.3">
      <c r="A3" s="20"/>
      <c r="B3" s="21"/>
      <c r="C3" s="22"/>
      <c r="D3" s="31"/>
      <c r="E3" s="927" t="s">
        <v>11</v>
      </c>
      <c r="F3" s="928"/>
      <c r="G3" s="929"/>
      <c r="H3" s="32"/>
      <c r="I3" s="809"/>
      <c r="J3" s="26"/>
      <c r="K3" s="809"/>
      <c r="L3" s="33"/>
      <c r="M3" s="34"/>
      <c r="N3" s="26"/>
      <c r="O3" s="35"/>
      <c r="P3" s="26"/>
      <c r="Q3" s="240"/>
      <c r="R3" s="36"/>
      <c r="S3" s="37"/>
      <c r="T3" s="930" t="s">
        <v>12</v>
      </c>
      <c r="U3" s="931"/>
      <c r="V3" s="810"/>
      <c r="W3" s="38"/>
    </row>
    <row r="4" spans="1:23" s="52" customFormat="1" ht="39.6" x14ac:dyDescent="0.3">
      <c r="A4" s="39" t="s">
        <v>13</v>
      </c>
      <c r="B4" s="40" t="s">
        <v>14</v>
      </c>
      <c r="C4" s="41" t="s">
        <v>15</v>
      </c>
      <c r="D4" s="42" t="s">
        <v>16</v>
      </c>
      <c r="E4" s="125" t="s">
        <v>17</v>
      </c>
      <c r="F4" s="40" t="s">
        <v>18</v>
      </c>
      <c r="G4" s="237" t="s">
        <v>19</v>
      </c>
      <c r="H4" s="237" t="s">
        <v>20</v>
      </c>
      <c r="I4" s="44" t="s">
        <v>21</v>
      </c>
      <c r="J4" s="44" t="s">
        <v>22</v>
      </c>
      <c r="K4" s="40" t="s">
        <v>23</v>
      </c>
      <c r="L4" s="46" t="s">
        <v>24</v>
      </c>
      <c r="M4" s="46" t="s">
        <v>25</v>
      </c>
      <c r="N4" s="44" t="s">
        <v>26</v>
      </c>
      <c r="O4" s="47" t="s">
        <v>27</v>
      </c>
      <c r="P4" s="44" t="s">
        <v>28</v>
      </c>
      <c r="Q4" s="241" t="s">
        <v>29</v>
      </c>
      <c r="R4" s="48" t="s">
        <v>7</v>
      </c>
      <c r="S4" s="49" t="s">
        <v>8</v>
      </c>
      <c r="T4" s="50" t="s">
        <v>30</v>
      </c>
      <c r="U4" s="50" t="s">
        <v>31</v>
      </c>
      <c r="V4" s="51" t="s">
        <v>2</v>
      </c>
      <c r="W4" s="41" t="s">
        <v>32</v>
      </c>
    </row>
    <row r="5" spans="1:23" ht="15" thickBot="1" x14ac:dyDescent="0.35">
      <c r="A5" s="53" t="s">
        <v>33</v>
      </c>
      <c r="B5" s="54"/>
      <c r="C5" s="55"/>
      <c r="D5" s="56"/>
      <c r="E5" s="65" t="s">
        <v>34</v>
      </c>
      <c r="F5" s="57" t="s">
        <v>34</v>
      </c>
      <c r="G5" s="133" t="s">
        <v>34</v>
      </c>
      <c r="H5" s="134" t="s">
        <v>34</v>
      </c>
      <c r="I5" s="57" t="s">
        <v>34</v>
      </c>
      <c r="J5" s="57" t="s">
        <v>34</v>
      </c>
      <c r="K5" s="58" t="s">
        <v>35</v>
      </c>
      <c r="L5" s="59" t="s">
        <v>34</v>
      </c>
      <c r="M5" s="60" t="s">
        <v>34</v>
      </c>
      <c r="N5" s="60" t="s">
        <v>35</v>
      </c>
      <c r="O5" s="61" t="s">
        <v>36</v>
      </c>
      <c r="P5" s="62" t="s">
        <v>36</v>
      </c>
      <c r="Q5" s="242" t="s">
        <v>36</v>
      </c>
      <c r="R5" s="63" t="s">
        <v>36</v>
      </c>
      <c r="S5" s="64" t="s">
        <v>36</v>
      </c>
      <c r="T5" s="65" t="s">
        <v>34</v>
      </c>
      <c r="U5" s="65" t="s">
        <v>34</v>
      </c>
      <c r="V5" s="66" t="s">
        <v>34</v>
      </c>
      <c r="W5" s="67"/>
    </row>
    <row r="6" spans="1:23" s="265" customFormat="1" ht="16.8" x14ac:dyDescent="0.4">
      <c r="A6" s="256">
        <v>45409</v>
      </c>
      <c r="B6" s="257" t="s">
        <v>186</v>
      </c>
      <c r="C6" s="258" t="s">
        <v>193</v>
      </c>
      <c r="D6" s="259" t="s">
        <v>52</v>
      </c>
      <c r="E6" s="261">
        <v>12</v>
      </c>
      <c r="F6" s="257">
        <v>1.1499999999999999</v>
      </c>
      <c r="G6" s="263">
        <v>10.85</v>
      </c>
      <c r="H6" s="260"/>
      <c r="I6" s="261">
        <v>2.2349999999999999</v>
      </c>
      <c r="J6" s="261">
        <v>1.7477777777777777</v>
      </c>
      <c r="K6" s="262">
        <v>0.51793227810058118</v>
      </c>
      <c r="L6" s="261">
        <v>8.6150000000000002</v>
      </c>
      <c r="M6" s="261"/>
      <c r="N6" s="263"/>
      <c r="O6" s="261"/>
      <c r="P6" s="261">
        <v>0.90523052605801568</v>
      </c>
      <c r="Q6" s="262"/>
      <c r="R6" s="261"/>
      <c r="S6" s="264"/>
      <c r="T6" s="778">
        <v>394092.42099999997</v>
      </c>
      <c r="U6" s="778">
        <v>6695617.5369999995</v>
      </c>
      <c r="V6" s="779">
        <v>652.49099999999999</v>
      </c>
    </row>
    <row r="7" spans="1:23" s="265" customFormat="1" ht="16.8" x14ac:dyDescent="0.4">
      <c r="A7" s="256">
        <v>45553</v>
      </c>
      <c r="B7" s="257" t="s">
        <v>103</v>
      </c>
      <c r="C7" s="258" t="s">
        <v>193</v>
      </c>
      <c r="D7" s="259" t="s">
        <v>53</v>
      </c>
      <c r="E7" s="261">
        <v>12</v>
      </c>
      <c r="F7" s="257">
        <v>8.33</v>
      </c>
      <c r="G7" s="263">
        <v>3.67</v>
      </c>
      <c r="H7" s="775"/>
      <c r="I7" s="261"/>
      <c r="J7" s="261"/>
      <c r="K7" s="262"/>
      <c r="L7" s="261"/>
      <c r="M7" s="261"/>
      <c r="N7" s="263"/>
      <c r="O7" s="261">
        <v>-5.3557305260580161</v>
      </c>
      <c r="P7" s="261"/>
      <c r="Q7" s="262">
        <v>-4.4505000000000008</v>
      </c>
      <c r="R7" s="261"/>
      <c r="S7" s="264">
        <v>0</v>
      </c>
      <c r="T7" s="778">
        <v>394093.97</v>
      </c>
      <c r="U7" s="778">
        <v>6695611.9809999997</v>
      </c>
      <c r="V7" s="779">
        <v>645.97799999999995</v>
      </c>
    </row>
    <row r="8" spans="1:23" s="265" customFormat="1" ht="16.8" x14ac:dyDescent="0.4">
      <c r="A8" s="256">
        <v>45553</v>
      </c>
      <c r="B8" s="257" t="s">
        <v>103</v>
      </c>
      <c r="C8" s="258" t="s">
        <v>193</v>
      </c>
      <c r="D8" s="259" t="s">
        <v>53</v>
      </c>
      <c r="E8" s="261">
        <v>7</v>
      </c>
      <c r="F8" s="261">
        <v>3.33</v>
      </c>
      <c r="G8" s="263">
        <v>3.67</v>
      </c>
      <c r="H8" s="260"/>
      <c r="I8" s="261"/>
      <c r="J8" s="261"/>
      <c r="K8" s="262"/>
      <c r="L8" s="261"/>
      <c r="M8" s="261"/>
      <c r="N8" s="263"/>
      <c r="O8" s="261"/>
      <c r="P8" s="261"/>
      <c r="Q8" s="262"/>
      <c r="R8" s="261"/>
      <c r="S8" s="264"/>
      <c r="T8" s="778"/>
      <c r="U8" s="778"/>
      <c r="V8" s="779"/>
    </row>
    <row r="9" spans="1:23" s="265" customFormat="1" ht="16.8" x14ac:dyDescent="0.4">
      <c r="A9" s="256">
        <v>45787</v>
      </c>
      <c r="B9" s="257" t="s">
        <v>220</v>
      </c>
      <c r="C9" s="258" t="s">
        <v>193</v>
      </c>
      <c r="D9" s="258" t="s">
        <v>52</v>
      </c>
      <c r="E9" s="261">
        <v>7</v>
      </c>
      <c r="F9" s="261">
        <v>0.96</v>
      </c>
      <c r="G9" s="263">
        <f>E9-F9</f>
        <v>6.04</v>
      </c>
      <c r="H9" s="260"/>
      <c r="I9" s="261">
        <f>AVERAGE(SiteAUU_Pit_20250510!M13:M16)/100</f>
        <v>2.4900000000000002</v>
      </c>
      <c r="J9" s="261">
        <f>AVERAGE(I9,I12, SiteAUU_Pit_20250510!M12/100)</f>
        <v>3</v>
      </c>
      <c r="K9" s="262">
        <f>SiteAUU_Pit_20250510!I4</f>
        <v>0.51414768806073163</v>
      </c>
      <c r="L9" s="261">
        <f>G9-I9</f>
        <v>3.55</v>
      </c>
      <c r="M9" s="261"/>
      <c r="N9" s="263"/>
      <c r="O9" s="261"/>
      <c r="P9" s="261">
        <f>K9*I9</f>
        <v>1.2802277432712219</v>
      </c>
      <c r="Q9" s="262"/>
      <c r="R9" s="261">
        <f>(L9-G8)*0.9</f>
        <v>-0.1080000000000001</v>
      </c>
      <c r="S9" s="264"/>
      <c r="T9" s="778">
        <v>394094.571</v>
      </c>
      <c r="U9" s="778">
        <v>6695604.3420000002</v>
      </c>
      <c r="V9" s="779">
        <v>648.59500000000003</v>
      </c>
    </row>
    <row r="10" spans="1:23" s="265" customFormat="1" ht="16.8" x14ac:dyDescent="0.4">
      <c r="A10" s="256">
        <v>45787</v>
      </c>
      <c r="B10" s="257" t="s">
        <v>220</v>
      </c>
      <c r="C10" s="258" t="s">
        <v>193</v>
      </c>
      <c r="D10" s="258" t="s">
        <v>52</v>
      </c>
      <c r="E10" s="261">
        <v>6</v>
      </c>
      <c r="F10" s="261">
        <f>E10-G10</f>
        <v>-4.0000000000000036E-2</v>
      </c>
      <c r="G10" s="263">
        <f>G9</f>
        <v>6.04</v>
      </c>
      <c r="H10" s="260"/>
      <c r="I10" s="261"/>
      <c r="J10" s="261"/>
      <c r="K10" s="262"/>
      <c r="L10" s="261"/>
      <c r="M10" s="261"/>
      <c r="N10" s="263"/>
      <c r="O10" s="261"/>
      <c r="P10" s="261"/>
      <c r="Q10" s="262"/>
      <c r="R10" s="261"/>
      <c r="S10" s="264"/>
      <c r="T10" s="778"/>
      <c r="U10" s="778"/>
      <c r="V10" s="779"/>
    </row>
    <row r="11" spans="1:23" s="69" customFormat="1" ht="14.4" x14ac:dyDescent="0.3">
      <c r="A11" s="219"/>
      <c r="B11" s="109"/>
      <c r="C11" s="225"/>
      <c r="D11" s="225"/>
      <c r="E11" s="220"/>
      <c r="F11" s="109"/>
      <c r="G11" s="231"/>
      <c r="H11" s="887"/>
      <c r="I11" s="220"/>
      <c r="J11" s="220"/>
      <c r="K11" s="229"/>
      <c r="L11" s="220"/>
      <c r="M11" s="220"/>
      <c r="N11" s="889"/>
      <c r="O11" s="220"/>
      <c r="P11" s="220"/>
      <c r="Q11" s="229"/>
      <c r="R11" s="220"/>
      <c r="S11" s="890"/>
      <c r="T11" s="109"/>
      <c r="U11" s="109"/>
      <c r="V11" s="890"/>
    </row>
    <row r="12" spans="1:23" s="69" customFormat="1" ht="14.4" x14ac:dyDescent="0.3">
      <c r="A12" s="128">
        <v>45787</v>
      </c>
      <c r="B12" s="129" t="s">
        <v>200</v>
      </c>
      <c r="C12" s="155" t="s">
        <v>221</v>
      </c>
      <c r="D12" s="155" t="s">
        <v>52</v>
      </c>
      <c r="E12" s="130">
        <v>12</v>
      </c>
      <c r="F12" s="129">
        <v>0.13</v>
      </c>
      <c r="G12" s="294">
        <f>E12-F12</f>
        <v>11.87</v>
      </c>
      <c r="H12" s="888"/>
      <c r="I12" s="130">
        <f>SiteAUU_Pit_20250510!M21/100</f>
        <v>3.56</v>
      </c>
      <c r="J12" s="130">
        <f>AVERAGE(I9,I12, SiteAUU_Pit_20250510!M12/100)</f>
        <v>3</v>
      </c>
      <c r="K12" s="158">
        <f>SiteAUU_Pit_20250510!I4</f>
        <v>0.51414768806073163</v>
      </c>
      <c r="L12" s="130">
        <f>G12-I12</f>
        <v>8.3099999999999987</v>
      </c>
      <c r="M12" s="130"/>
      <c r="N12" s="294"/>
      <c r="O12" s="130"/>
      <c r="P12" s="130">
        <f>K12*I12</f>
        <v>1.8303657694962046</v>
      </c>
      <c r="Q12" s="158"/>
      <c r="R12" s="130"/>
      <c r="S12" s="891"/>
      <c r="T12" s="129">
        <v>394115.91499999998</v>
      </c>
      <c r="U12" s="129">
        <v>6695637.7960000001</v>
      </c>
      <c r="V12" s="152">
        <v>659.62800000000004</v>
      </c>
      <c r="W12" s="838"/>
    </row>
    <row r="13" spans="1:23" s="69" customFormat="1" ht="14.4" x14ac:dyDescent="0.3">
      <c r="A13" s="128">
        <v>45787</v>
      </c>
      <c r="B13" s="129" t="s">
        <v>200</v>
      </c>
      <c r="C13" s="155" t="s">
        <v>221</v>
      </c>
      <c r="D13" s="155" t="s">
        <v>52</v>
      </c>
      <c r="E13" s="130">
        <v>8</v>
      </c>
      <c r="F13" s="130">
        <f>E13-G13</f>
        <v>-3.8699999999999992</v>
      </c>
      <c r="G13" s="294">
        <f>G12</f>
        <v>11.87</v>
      </c>
      <c r="H13" s="888"/>
      <c r="I13" s="130"/>
      <c r="J13" s="130"/>
      <c r="K13" s="158"/>
      <c r="L13" s="130"/>
      <c r="M13" s="130"/>
      <c r="N13" s="294"/>
      <c r="O13" s="130"/>
      <c r="P13" s="130"/>
      <c r="Q13" s="158"/>
      <c r="R13" s="130"/>
      <c r="S13" s="891"/>
      <c r="T13" s="129"/>
      <c r="U13" s="129"/>
      <c r="V13" s="891"/>
      <c r="W13" s="838"/>
    </row>
    <row r="14" spans="1:23" s="69" customFormat="1" ht="14.4" x14ac:dyDescent="0.3">
      <c r="A14" s="128"/>
      <c r="B14" s="129"/>
      <c r="C14" s="155"/>
      <c r="D14" s="155"/>
      <c r="E14" s="130"/>
      <c r="F14" s="129"/>
      <c r="G14" s="152"/>
      <c r="H14" s="888"/>
      <c r="I14" s="130"/>
      <c r="J14" s="130"/>
      <c r="K14" s="158"/>
      <c r="L14" s="130"/>
      <c r="M14" s="130"/>
      <c r="N14" s="294"/>
      <c r="O14" s="130"/>
      <c r="P14" s="130"/>
      <c r="Q14" s="158"/>
      <c r="R14" s="130"/>
      <c r="S14" s="891"/>
      <c r="T14" s="129"/>
      <c r="U14" s="129"/>
      <c r="V14" s="891"/>
      <c r="W14" s="838"/>
    </row>
    <row r="15" spans="1:23" s="69" customFormat="1" ht="14.4" x14ac:dyDescent="0.3">
      <c r="A15" s="128"/>
      <c r="B15" s="129"/>
      <c r="C15" s="155"/>
      <c r="D15" s="155"/>
      <c r="E15" s="130"/>
      <c r="F15" s="129"/>
      <c r="G15" s="152"/>
      <c r="H15" s="888"/>
      <c r="I15" s="130"/>
      <c r="J15" s="130"/>
      <c r="K15" s="158"/>
      <c r="L15" s="130"/>
      <c r="M15" s="130"/>
      <c r="N15" s="294"/>
      <c r="O15" s="130"/>
      <c r="P15" s="130"/>
      <c r="Q15" s="158"/>
      <c r="R15" s="130"/>
      <c r="S15" s="891"/>
      <c r="T15" s="129"/>
      <c r="U15" s="129"/>
      <c r="V15" s="891"/>
      <c r="W15" s="838"/>
    </row>
    <row r="16" spans="1:23" ht="15" thickBot="1" x14ac:dyDescent="0.35">
      <c r="A16" s="70"/>
      <c r="B16" s="70"/>
      <c r="C16" s="70"/>
      <c r="D16" s="70"/>
      <c r="E16" s="71"/>
      <c r="F16" s="71"/>
      <c r="G16" s="70"/>
      <c r="H16" s="70"/>
      <c r="I16" s="70"/>
      <c r="J16" s="70"/>
      <c r="K16" s="70"/>
      <c r="L16" s="70"/>
      <c r="M16" s="70"/>
      <c r="N16" s="70"/>
      <c r="O16" s="70"/>
      <c r="P16" s="70"/>
      <c r="Q16" s="70"/>
      <c r="R16" s="72"/>
      <c r="S16" s="72"/>
      <c r="T16" s="70"/>
      <c r="U16" s="70"/>
    </row>
    <row r="17" spans="1:21" ht="14.4" customHeight="1" x14ac:dyDescent="0.3">
      <c r="A17" s="932" t="s">
        <v>37</v>
      </c>
      <c r="B17" s="933"/>
      <c r="C17" s="936" t="s">
        <v>38</v>
      </c>
      <c r="D17" s="937"/>
      <c r="E17" s="350" t="s">
        <v>39</v>
      </c>
      <c r="F17" s="74"/>
      <c r="G17" s="73" t="s">
        <v>40</v>
      </c>
      <c r="H17" s="74"/>
      <c r="I17" s="75" t="s">
        <v>41</v>
      </c>
      <c r="Q17" s="69"/>
      <c r="R17" s="68"/>
      <c r="S17" s="68"/>
      <c r="T17" s="108"/>
      <c r="U17" s="70"/>
    </row>
    <row r="18" spans="1:21" ht="14.4" customHeight="1" x14ac:dyDescent="0.3">
      <c r="A18" s="934"/>
      <c r="B18" s="935"/>
      <c r="C18" s="76" t="s">
        <v>42</v>
      </c>
      <c r="D18" s="76" t="s">
        <v>43</v>
      </c>
      <c r="E18" s="893">
        <f>A8</f>
        <v>45553</v>
      </c>
      <c r="F18" s="77" t="s">
        <v>44</v>
      </c>
      <c r="G18" s="78">
        <f>A9</f>
        <v>45787</v>
      </c>
      <c r="H18" s="77" t="s">
        <v>44</v>
      </c>
      <c r="I18" s="79" t="s">
        <v>54</v>
      </c>
      <c r="Q18" s="69"/>
      <c r="R18" s="80"/>
      <c r="S18" s="80"/>
      <c r="T18" s="108"/>
      <c r="U18" s="70"/>
    </row>
    <row r="19" spans="1:21" ht="14.4" x14ac:dyDescent="0.3">
      <c r="A19" s="81"/>
      <c r="B19" s="82" t="s">
        <v>45</v>
      </c>
      <c r="C19" s="83">
        <f>AVERAGE(P9,P12,SiteAUU_Pit_20250510!I5)</f>
        <v>1.5424430641821949</v>
      </c>
      <c r="D19" s="83">
        <v>0</v>
      </c>
      <c r="E19" s="351"/>
      <c r="F19" s="84"/>
      <c r="G19" s="85"/>
      <c r="H19" s="83"/>
      <c r="I19" s="86"/>
      <c r="Q19" s="69"/>
      <c r="R19" s="80"/>
      <c r="S19" s="80"/>
      <c r="T19" s="108"/>
      <c r="U19" s="70"/>
    </row>
    <row r="20" spans="1:21" ht="14.4" x14ac:dyDescent="0.3">
      <c r="A20" s="81"/>
      <c r="B20" s="82" t="s">
        <v>46</v>
      </c>
      <c r="C20" s="83" t="s">
        <v>54</v>
      </c>
      <c r="D20" s="83"/>
      <c r="E20" s="351"/>
      <c r="F20" s="84"/>
      <c r="G20" s="85"/>
      <c r="H20" s="83"/>
      <c r="I20" s="86"/>
      <c r="Q20" s="69"/>
      <c r="R20" s="80"/>
      <c r="S20" s="80"/>
      <c r="T20" s="108"/>
      <c r="U20" s="70"/>
    </row>
    <row r="21" spans="1:21" ht="14.4" x14ac:dyDescent="0.3">
      <c r="A21" s="81"/>
      <c r="B21" s="82" t="s">
        <v>47</v>
      </c>
      <c r="C21" s="83" t="s">
        <v>54</v>
      </c>
      <c r="D21" s="83"/>
      <c r="E21" s="351"/>
      <c r="F21" s="84"/>
      <c r="G21" s="85"/>
      <c r="H21" s="83"/>
      <c r="I21" s="86"/>
      <c r="Q21" s="69"/>
      <c r="R21" s="80"/>
      <c r="S21" s="80"/>
      <c r="T21" s="108"/>
      <c r="U21" s="70"/>
    </row>
    <row r="22" spans="1:21" ht="14.4" x14ac:dyDescent="0.3">
      <c r="A22" s="81"/>
      <c r="B22" s="87" t="s">
        <v>48</v>
      </c>
      <c r="C22" s="83">
        <f>S7</f>
        <v>0</v>
      </c>
      <c r="D22" s="83"/>
      <c r="E22" s="351"/>
      <c r="F22" s="84"/>
      <c r="G22" s="83"/>
      <c r="H22" s="83"/>
      <c r="I22" s="86"/>
      <c r="Q22" s="69"/>
      <c r="R22" s="80"/>
      <c r="S22" s="80"/>
      <c r="T22" s="108"/>
      <c r="U22" s="70"/>
    </row>
    <row r="23" spans="1:21" ht="14.4" x14ac:dyDescent="0.3">
      <c r="A23" s="81"/>
      <c r="B23" s="88" t="s">
        <v>49</v>
      </c>
      <c r="C23" s="83">
        <f>R9</f>
        <v>-0.1080000000000001</v>
      </c>
      <c r="D23" s="83"/>
      <c r="E23" s="351"/>
      <c r="F23" s="84"/>
      <c r="G23" s="83"/>
      <c r="H23" s="83"/>
      <c r="I23" s="86"/>
      <c r="Q23" s="69"/>
      <c r="R23" s="80"/>
      <c r="S23" s="80"/>
      <c r="T23" s="108"/>
      <c r="U23" s="70"/>
    </row>
    <row r="24" spans="1:21" ht="15" thickBot="1" x14ac:dyDescent="0.35">
      <c r="A24" s="89"/>
      <c r="B24" s="90" t="s">
        <v>50</v>
      </c>
      <c r="C24" s="892" t="s">
        <v>54</v>
      </c>
      <c r="D24" s="91"/>
      <c r="E24" s="352"/>
      <c r="F24" s="92"/>
      <c r="G24" s="93"/>
      <c r="H24" s="93"/>
      <c r="I24" s="94"/>
      <c r="Q24" s="69"/>
      <c r="R24" s="80"/>
      <c r="S24" s="80"/>
      <c r="T24" s="108"/>
      <c r="U24" s="70"/>
    </row>
    <row r="25" spans="1:21" ht="14.4" x14ac:dyDescent="0.3">
      <c r="A25" s="72"/>
      <c r="B25" s="72"/>
      <c r="C25" s="72"/>
      <c r="D25" s="72"/>
      <c r="E25" s="102"/>
      <c r="F25" s="72"/>
      <c r="G25" s="72"/>
      <c r="H25" s="72"/>
      <c r="I25" s="72"/>
      <c r="J25" s="72"/>
      <c r="K25" s="72"/>
      <c r="L25" s="72"/>
      <c r="M25" s="72"/>
      <c r="N25" s="72"/>
      <c r="O25" s="72"/>
      <c r="P25" s="72"/>
      <c r="Q25" s="68"/>
      <c r="R25" s="68"/>
      <c r="S25" s="68"/>
      <c r="T25" s="68"/>
      <c r="U25" s="72"/>
    </row>
  </sheetData>
  <mergeCells count="4">
    <mergeCell ref="E3:G3"/>
    <mergeCell ref="T3:U3"/>
    <mergeCell ref="A17:B18"/>
    <mergeCell ref="C17:D1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5"/>
  <sheetViews>
    <sheetView zoomScale="90" zoomScaleNormal="90" workbookViewId="0">
      <pane xSplit="2" ySplit="4" topLeftCell="C5" activePane="bottomRight" state="frozen"/>
      <selection pane="topRight" activeCell="C1" sqref="C1"/>
      <selection pane="bottomLeft" activeCell="A5" sqref="A5"/>
      <selection pane="bottomRight" activeCell="L23" sqref="L23"/>
    </sheetView>
  </sheetViews>
  <sheetFormatPr defaultColWidth="17.44140625" defaultRowHeight="15.75" customHeight="1" x14ac:dyDescent="0.3"/>
  <cols>
    <col min="1" max="1" width="12.44140625" style="104" customWidth="1"/>
    <col min="2" max="2" width="27.44140625" style="104" customWidth="1"/>
    <col min="3" max="3" width="11.44140625" style="104" bestFit="1" customWidth="1"/>
    <col min="4" max="4" width="20" style="104" bestFit="1" customWidth="1"/>
    <col min="5" max="5" width="10.5546875" style="159" bestFit="1" customWidth="1"/>
    <col min="6" max="7" width="13.5546875" style="104" bestFit="1" customWidth="1"/>
    <col min="8" max="8" width="14.44140625" style="104" bestFit="1" customWidth="1"/>
    <col min="9" max="9" width="17.44140625" style="104" bestFit="1" customWidth="1"/>
    <col min="10" max="10" width="19.5546875" style="104" bestFit="1" customWidth="1"/>
    <col min="11" max="11" width="16.44140625" style="104" bestFit="1" customWidth="1"/>
    <col min="12" max="12" width="18" style="104" customWidth="1"/>
    <col min="13" max="13" width="22.109375" style="104" customWidth="1"/>
    <col min="14" max="14" width="11.5546875" style="104" bestFit="1" customWidth="1"/>
    <col min="15" max="15" width="11.44140625" style="104" bestFit="1" customWidth="1"/>
    <col min="16" max="16" width="13.5546875" style="104" bestFit="1" customWidth="1"/>
    <col min="17" max="17" width="7.88671875" style="159" bestFit="1" customWidth="1"/>
    <col min="18" max="18" width="14.5546875" style="104" bestFit="1" customWidth="1"/>
    <col min="19" max="19" width="20.5546875" style="104" bestFit="1" customWidth="1"/>
    <col min="20" max="20" width="21" style="104" bestFit="1" customWidth="1"/>
    <col min="21" max="21" width="15.33203125" style="104" customWidth="1"/>
    <col min="22" max="16384" width="17.44140625" style="104"/>
  </cols>
  <sheetData>
    <row r="1" spans="1:23" ht="14.4" x14ac:dyDescent="0.3">
      <c r="A1" s="5"/>
      <c r="B1" s="6"/>
      <c r="C1" s="7"/>
      <c r="D1" s="8"/>
      <c r="E1" s="123"/>
      <c r="F1" s="10"/>
      <c r="G1" s="11"/>
      <c r="H1" s="12"/>
      <c r="I1" s="11"/>
      <c r="J1" s="13"/>
      <c r="K1" s="10"/>
      <c r="L1" s="103"/>
      <c r="M1" s="15"/>
      <c r="N1" s="11"/>
      <c r="O1" s="16"/>
      <c r="P1" s="17"/>
      <c r="Q1" s="347"/>
      <c r="R1" s="17"/>
      <c r="S1" s="18"/>
      <c r="T1" s="938" t="s">
        <v>9</v>
      </c>
      <c r="U1" s="939"/>
      <c r="V1" s="940"/>
      <c r="W1" s="19"/>
    </row>
    <row r="2" spans="1:23" ht="14.4" x14ac:dyDescent="0.3">
      <c r="A2" s="20"/>
      <c r="B2" s="21"/>
      <c r="C2" s="22"/>
      <c r="D2" s="23"/>
      <c r="E2" s="124"/>
      <c r="F2" s="809"/>
      <c r="G2" s="24"/>
      <c r="H2" s="25"/>
      <c r="I2" s="24"/>
      <c r="J2" s="26"/>
      <c r="K2" s="27"/>
      <c r="L2" s="28"/>
      <c r="M2" s="29"/>
      <c r="N2" s="26"/>
      <c r="O2" s="105"/>
      <c r="S2" s="106"/>
      <c r="T2" s="941" t="s">
        <v>10</v>
      </c>
      <c r="U2" s="942"/>
      <c r="V2" s="810"/>
      <c r="W2" s="30"/>
    </row>
    <row r="3" spans="1:23" ht="14.4" x14ac:dyDescent="0.3">
      <c r="A3" s="20"/>
      <c r="B3" s="21"/>
      <c r="C3" s="22"/>
      <c r="D3" s="31"/>
      <c r="E3" s="927" t="s">
        <v>11</v>
      </c>
      <c r="F3" s="928"/>
      <c r="G3" s="929"/>
      <c r="H3" s="32"/>
      <c r="I3" s="809"/>
      <c r="J3" s="26"/>
      <c r="K3" s="809"/>
      <c r="L3" s="33"/>
      <c r="M3" s="34"/>
      <c r="N3" s="26"/>
      <c r="O3" s="35"/>
      <c r="P3" s="26"/>
      <c r="Q3" s="97"/>
      <c r="R3" s="36"/>
      <c r="S3" s="37"/>
      <c r="T3" s="930" t="s">
        <v>12</v>
      </c>
      <c r="U3" s="931"/>
      <c r="V3" s="810"/>
      <c r="W3" s="38"/>
    </row>
    <row r="4" spans="1:23" s="107" customFormat="1" ht="39.6" x14ac:dyDescent="0.3">
      <c r="A4" s="39" t="s">
        <v>13</v>
      </c>
      <c r="B4" s="40" t="s">
        <v>14</v>
      </c>
      <c r="C4" s="41" t="s">
        <v>15</v>
      </c>
      <c r="D4" s="42" t="s">
        <v>16</v>
      </c>
      <c r="E4" s="125" t="s">
        <v>17</v>
      </c>
      <c r="F4" s="40" t="s">
        <v>18</v>
      </c>
      <c r="G4" s="44" t="s">
        <v>19</v>
      </c>
      <c r="H4" s="45" t="s">
        <v>20</v>
      </c>
      <c r="I4" s="44" t="s">
        <v>21</v>
      </c>
      <c r="J4" s="44" t="s">
        <v>22</v>
      </c>
      <c r="K4" s="40" t="s">
        <v>23</v>
      </c>
      <c r="L4" s="46" t="s">
        <v>24</v>
      </c>
      <c r="M4" s="46" t="s">
        <v>25</v>
      </c>
      <c r="N4" s="44" t="s">
        <v>26</v>
      </c>
      <c r="O4" s="47" t="s">
        <v>27</v>
      </c>
      <c r="P4" s="44" t="s">
        <v>28</v>
      </c>
      <c r="Q4" s="98" t="s">
        <v>29</v>
      </c>
      <c r="R4" s="48" t="s">
        <v>7</v>
      </c>
      <c r="S4" s="49" t="s">
        <v>8</v>
      </c>
      <c r="T4" s="50" t="s">
        <v>30</v>
      </c>
      <c r="U4" s="50" t="s">
        <v>31</v>
      </c>
      <c r="V4" s="51" t="s">
        <v>2</v>
      </c>
      <c r="W4" s="41" t="s">
        <v>32</v>
      </c>
    </row>
    <row r="5" spans="1:23" ht="15" thickBot="1" x14ac:dyDescent="0.35">
      <c r="A5" s="53" t="s">
        <v>33</v>
      </c>
      <c r="B5" s="54"/>
      <c r="C5" s="55"/>
      <c r="D5" s="56"/>
      <c r="E5" s="65" t="s">
        <v>34</v>
      </c>
      <c r="F5" s="57" t="s">
        <v>34</v>
      </c>
      <c r="G5" s="57" t="s">
        <v>34</v>
      </c>
      <c r="H5" s="134" t="s">
        <v>34</v>
      </c>
      <c r="I5" s="57" t="s">
        <v>34</v>
      </c>
      <c r="J5" s="57" t="s">
        <v>34</v>
      </c>
      <c r="K5" s="58" t="s">
        <v>35</v>
      </c>
      <c r="L5" s="59" t="s">
        <v>34</v>
      </c>
      <c r="M5" s="60" t="s">
        <v>34</v>
      </c>
      <c r="N5" s="60" t="s">
        <v>35</v>
      </c>
      <c r="O5" s="61" t="s">
        <v>36</v>
      </c>
      <c r="P5" s="62" t="s">
        <v>36</v>
      </c>
      <c r="Q5" s="348" t="s">
        <v>36</v>
      </c>
      <c r="R5" s="63" t="s">
        <v>36</v>
      </c>
      <c r="S5" s="64" t="s">
        <v>36</v>
      </c>
      <c r="T5" s="65" t="s">
        <v>34</v>
      </c>
      <c r="U5" s="65" t="s">
        <v>34</v>
      </c>
      <c r="V5" s="66" t="s">
        <v>34</v>
      </c>
      <c r="W5" s="67"/>
    </row>
    <row r="6" spans="1:23" s="235" customFormat="1" ht="16.8" x14ac:dyDescent="0.4">
      <c r="A6" s="333">
        <v>45052</v>
      </c>
      <c r="B6" s="330" t="s">
        <v>93</v>
      </c>
      <c r="C6" s="334" t="s">
        <v>98</v>
      </c>
      <c r="D6" s="334" t="s">
        <v>52</v>
      </c>
      <c r="E6" s="331">
        <v>12.2</v>
      </c>
      <c r="F6" s="331">
        <v>0.57999999999999996</v>
      </c>
      <c r="G6" s="339">
        <v>11.62</v>
      </c>
      <c r="H6" s="336"/>
      <c r="I6" s="330"/>
      <c r="J6" s="330">
        <v>2.42</v>
      </c>
      <c r="K6" s="243">
        <v>0.43</v>
      </c>
      <c r="L6" s="331">
        <v>9.1999999999999993</v>
      </c>
      <c r="M6" s="330"/>
      <c r="N6" s="335"/>
      <c r="O6" s="330"/>
      <c r="P6" s="331">
        <v>1.0406</v>
      </c>
      <c r="Q6" s="331"/>
      <c r="R6" s="330"/>
      <c r="S6" s="335"/>
      <c r="T6" s="782">
        <v>394833.36099999998</v>
      </c>
      <c r="U6" s="782">
        <v>6697096.5710000005</v>
      </c>
      <c r="V6" s="777">
        <v>996.995</v>
      </c>
    </row>
    <row r="7" spans="1:23" s="235" customFormat="1" ht="16.8" x14ac:dyDescent="0.4">
      <c r="A7" s="333">
        <v>45176</v>
      </c>
      <c r="B7" s="330" t="s">
        <v>93</v>
      </c>
      <c r="C7" s="334" t="s">
        <v>98</v>
      </c>
      <c r="D7" s="334" t="s">
        <v>53</v>
      </c>
      <c r="E7" s="331">
        <v>6.1</v>
      </c>
      <c r="F7" s="331">
        <v>-0.37</v>
      </c>
      <c r="G7" s="339">
        <v>6.47</v>
      </c>
      <c r="H7" s="336"/>
      <c r="I7" s="330"/>
      <c r="J7" s="330"/>
      <c r="K7" s="243"/>
      <c r="L7" s="330"/>
      <c r="M7" s="330"/>
      <c r="N7" s="335"/>
      <c r="O7" s="331">
        <v>-3.4975999999999998</v>
      </c>
      <c r="P7" s="331"/>
      <c r="Q7" s="331">
        <v>-2.4569999999999999</v>
      </c>
      <c r="R7" s="330"/>
      <c r="S7" s="335">
        <v>0</v>
      </c>
      <c r="T7" s="782"/>
      <c r="U7" s="782"/>
      <c r="V7" s="777"/>
    </row>
    <row r="8" spans="1:23" s="235" customFormat="1" ht="16.8" x14ac:dyDescent="0.4">
      <c r="A8" s="333">
        <v>45176</v>
      </c>
      <c r="B8" s="330" t="s">
        <v>93</v>
      </c>
      <c r="C8" s="334" t="s">
        <v>98</v>
      </c>
      <c r="D8" s="334" t="s">
        <v>53</v>
      </c>
      <c r="E8" s="331">
        <v>10.77</v>
      </c>
      <c r="F8" s="331">
        <v>4.3</v>
      </c>
      <c r="G8" s="339">
        <v>6.47</v>
      </c>
      <c r="H8" s="336"/>
      <c r="I8" s="330"/>
      <c r="J8" s="330"/>
      <c r="K8" s="243"/>
      <c r="L8" s="330"/>
      <c r="M8" s="330"/>
      <c r="N8" s="335"/>
      <c r="O8" s="330"/>
      <c r="P8" s="331"/>
      <c r="Q8" s="331"/>
      <c r="R8" s="330"/>
      <c r="S8" s="335"/>
      <c r="T8" s="782"/>
      <c r="U8" s="782"/>
      <c r="V8" s="777"/>
    </row>
    <row r="9" spans="1:23" s="235" customFormat="1" ht="16.8" x14ac:dyDescent="0.4">
      <c r="A9" s="333">
        <v>45406</v>
      </c>
      <c r="B9" s="330" t="s">
        <v>194</v>
      </c>
      <c r="C9" s="334" t="s">
        <v>98</v>
      </c>
      <c r="D9" s="334" t="s">
        <v>52</v>
      </c>
      <c r="E9" s="331">
        <v>10.77</v>
      </c>
      <c r="F9" s="331">
        <v>2.0099999999999998</v>
      </c>
      <c r="G9" s="339">
        <v>8.76</v>
      </c>
      <c r="H9" s="336"/>
      <c r="I9" s="330"/>
      <c r="J9" s="330"/>
      <c r="K9" s="243"/>
      <c r="L9" s="330"/>
      <c r="M9" s="330"/>
      <c r="N9" s="335"/>
      <c r="O9" s="330"/>
      <c r="P9" s="331"/>
      <c r="Q9" s="331"/>
      <c r="R9" s="330"/>
      <c r="S9" s="335"/>
      <c r="T9" s="782"/>
      <c r="U9" s="782"/>
      <c r="V9" s="777"/>
    </row>
    <row r="10" spans="1:23" s="235" customFormat="1" ht="16.8" x14ac:dyDescent="0.4">
      <c r="A10" s="333">
        <v>45406</v>
      </c>
      <c r="B10" s="330" t="s">
        <v>194</v>
      </c>
      <c r="C10" s="334" t="s">
        <v>98</v>
      </c>
      <c r="D10" s="334" t="s">
        <v>52</v>
      </c>
      <c r="E10" s="331">
        <v>9.15</v>
      </c>
      <c r="F10" s="331">
        <v>0.39</v>
      </c>
      <c r="G10" s="339">
        <v>8.76</v>
      </c>
      <c r="H10" s="336"/>
      <c r="I10" s="331">
        <v>2.415</v>
      </c>
      <c r="J10" s="331">
        <v>2.4941666666666666</v>
      </c>
      <c r="K10" s="243">
        <v>0.42462765384672868</v>
      </c>
      <c r="L10" s="331">
        <v>6.3449999999999998</v>
      </c>
      <c r="M10" s="330"/>
      <c r="N10" s="335"/>
      <c r="O10" s="330"/>
      <c r="P10" s="331">
        <v>1.0254757840398498</v>
      </c>
      <c r="Q10" s="331"/>
      <c r="R10" s="331">
        <v>-0.1125</v>
      </c>
      <c r="S10" s="335"/>
      <c r="T10" s="782">
        <v>394816.81400000001</v>
      </c>
      <c r="U10" s="782">
        <v>6697059.1349999998</v>
      </c>
      <c r="V10" s="777">
        <v>995.15499999999997</v>
      </c>
    </row>
    <row r="11" spans="1:23" s="235" customFormat="1" ht="16.8" x14ac:dyDescent="0.4">
      <c r="A11" s="333">
        <v>45552</v>
      </c>
      <c r="B11" s="330" t="s">
        <v>186</v>
      </c>
      <c r="C11" s="334" t="s">
        <v>98</v>
      </c>
      <c r="D11" s="334" t="s">
        <v>53</v>
      </c>
      <c r="E11" s="331">
        <v>6.1</v>
      </c>
      <c r="F11" s="331">
        <v>2.5</v>
      </c>
      <c r="G11" s="339">
        <v>3.5999999999999996</v>
      </c>
      <c r="H11" s="336"/>
      <c r="I11" s="331"/>
      <c r="J11" s="331"/>
      <c r="K11" s="243"/>
      <c r="L11" s="331"/>
      <c r="M11" s="330"/>
      <c r="N11" s="335"/>
      <c r="O11" s="331">
        <v>-3.4959757840398504</v>
      </c>
      <c r="P11" s="331"/>
      <c r="Q11" s="331">
        <v>-2.4705000000000004</v>
      </c>
      <c r="R11" s="331"/>
      <c r="S11" s="335">
        <v>0</v>
      </c>
      <c r="T11" s="782">
        <v>394812.66600000003</v>
      </c>
      <c r="U11" s="782">
        <v>6697045.5010000002</v>
      </c>
      <c r="V11" s="777">
        <v>988.96799999999996</v>
      </c>
    </row>
    <row r="12" spans="1:23" s="235" customFormat="1" ht="16.8" x14ac:dyDescent="0.4">
      <c r="A12" s="333">
        <v>45552</v>
      </c>
      <c r="B12" s="330" t="s">
        <v>186</v>
      </c>
      <c r="C12" s="334" t="s">
        <v>98</v>
      </c>
      <c r="D12" s="334" t="s">
        <v>53</v>
      </c>
      <c r="E12" s="331">
        <v>7.9</v>
      </c>
      <c r="F12" s="331">
        <v>4.3000000000000007</v>
      </c>
      <c r="G12" s="339">
        <v>3.5999999999999996</v>
      </c>
      <c r="H12" s="336"/>
      <c r="I12" s="331"/>
      <c r="J12" s="331"/>
      <c r="K12" s="243"/>
      <c r="L12" s="331"/>
      <c r="M12" s="330"/>
      <c r="N12" s="335"/>
      <c r="O12" s="330"/>
      <c r="P12" s="331"/>
      <c r="Q12" s="331"/>
      <c r="R12" s="331"/>
      <c r="S12" s="335"/>
      <c r="T12" s="782"/>
      <c r="U12" s="782"/>
      <c r="V12" s="777"/>
    </row>
    <row r="13" spans="1:23" ht="16.8" x14ac:dyDescent="0.4">
      <c r="A13" s="70"/>
      <c r="B13" s="70"/>
      <c r="C13" s="213"/>
      <c r="D13" s="213"/>
      <c r="E13" s="71"/>
      <c r="F13" s="71"/>
      <c r="G13" s="206"/>
      <c r="H13" s="209"/>
      <c r="I13" s="70"/>
      <c r="J13" s="70"/>
      <c r="K13" s="154"/>
      <c r="L13" s="349"/>
      <c r="M13" s="70"/>
      <c r="N13" s="206"/>
      <c r="O13" s="70"/>
      <c r="P13" s="70"/>
      <c r="Q13" s="71"/>
      <c r="R13" s="70"/>
      <c r="S13" s="206"/>
      <c r="T13" s="781"/>
      <c r="U13" s="781"/>
      <c r="V13" s="785"/>
    </row>
    <row r="14" spans="1:23" s="222" customFormat="1" ht="16.8" x14ac:dyDescent="0.4">
      <c r="A14" s="604">
        <v>45406</v>
      </c>
      <c r="B14" s="601" t="s">
        <v>186</v>
      </c>
      <c r="C14" s="743" t="s">
        <v>188</v>
      </c>
      <c r="D14" s="743" t="s">
        <v>52</v>
      </c>
      <c r="E14" s="602">
        <v>12</v>
      </c>
      <c r="F14" s="602">
        <v>-0.09</v>
      </c>
      <c r="G14" s="751">
        <v>12.09</v>
      </c>
      <c r="H14" s="784"/>
      <c r="I14" s="602">
        <v>2.5724999999999998</v>
      </c>
      <c r="J14" s="602">
        <v>2.4941666666666666</v>
      </c>
      <c r="K14" s="230">
        <v>0.42462765384672868</v>
      </c>
      <c r="L14" s="602">
        <v>9.5175000000000001</v>
      </c>
      <c r="M14" s="601"/>
      <c r="N14" s="747"/>
      <c r="O14" s="601"/>
      <c r="P14" s="602">
        <v>1.0923546395207095</v>
      </c>
      <c r="Q14" s="602"/>
      <c r="R14" s="601"/>
      <c r="S14" s="747"/>
      <c r="T14" s="783">
        <v>394841.77500000002</v>
      </c>
      <c r="U14" s="783">
        <v>6697105.0590000004</v>
      </c>
      <c r="V14" s="786">
        <v>998.84500000000003</v>
      </c>
    </row>
    <row r="15" spans="1:23" s="222" customFormat="1" ht="16.8" x14ac:dyDescent="0.4">
      <c r="A15" s="604">
        <v>45552</v>
      </c>
      <c r="B15" s="601" t="s">
        <v>186</v>
      </c>
      <c r="C15" s="743" t="s">
        <v>188</v>
      </c>
      <c r="D15" s="743" t="s">
        <v>53</v>
      </c>
      <c r="E15" s="602">
        <v>8</v>
      </c>
      <c r="F15" s="602">
        <v>0.97</v>
      </c>
      <c r="G15" s="751">
        <v>7.03</v>
      </c>
      <c r="H15" s="784"/>
      <c r="I15" s="602"/>
      <c r="J15" s="602"/>
      <c r="K15" s="230"/>
      <c r="L15" s="602"/>
      <c r="M15" s="601"/>
      <c r="N15" s="747"/>
      <c r="O15" s="602">
        <v>-3.3311046395207096</v>
      </c>
      <c r="P15" s="602"/>
      <c r="Q15" s="602">
        <v>-2.23875</v>
      </c>
      <c r="R15" s="601"/>
      <c r="S15" s="747">
        <v>0</v>
      </c>
      <c r="T15" s="783">
        <v>394838.00199999998</v>
      </c>
      <c r="U15" s="783">
        <v>6697091.1210000003</v>
      </c>
      <c r="V15" s="786">
        <v>991.04300000000001</v>
      </c>
    </row>
    <row r="16" spans="1:23" s="222" customFormat="1" ht="16.8" x14ac:dyDescent="0.4">
      <c r="A16" s="604">
        <v>45552</v>
      </c>
      <c r="B16" s="601" t="s">
        <v>186</v>
      </c>
      <c r="C16" s="743" t="s">
        <v>188</v>
      </c>
      <c r="D16" s="743" t="s">
        <v>53</v>
      </c>
      <c r="E16" s="602">
        <v>11.5</v>
      </c>
      <c r="F16" s="602">
        <v>4.47</v>
      </c>
      <c r="G16" s="751">
        <v>7.03</v>
      </c>
      <c r="H16" s="784"/>
      <c r="I16" s="602"/>
      <c r="J16" s="602"/>
      <c r="K16" s="230"/>
      <c r="L16" s="602"/>
      <c r="M16" s="601"/>
      <c r="N16" s="747"/>
      <c r="O16" s="601"/>
      <c r="P16" s="602"/>
      <c r="Q16" s="602"/>
      <c r="R16" s="601"/>
      <c r="S16" s="747"/>
      <c r="T16" s="783"/>
      <c r="U16" s="783"/>
      <c r="V16" s="786"/>
    </row>
    <row r="17" spans="1:23" s="222" customFormat="1" ht="16.8" x14ac:dyDescent="0.4">
      <c r="A17" s="604">
        <v>45659</v>
      </c>
      <c r="B17" s="601" t="s">
        <v>204</v>
      </c>
      <c r="C17" s="743" t="s">
        <v>205</v>
      </c>
      <c r="D17" s="743" t="s">
        <v>89</v>
      </c>
      <c r="E17" s="602">
        <v>11.5</v>
      </c>
      <c r="F17" s="602">
        <v>2.33</v>
      </c>
      <c r="G17" s="751">
        <f>E17-F17</f>
        <v>9.17</v>
      </c>
      <c r="H17" s="784"/>
      <c r="I17" s="602"/>
      <c r="J17" s="602"/>
      <c r="K17" s="230"/>
      <c r="L17" s="602"/>
      <c r="M17" s="601"/>
      <c r="N17" s="747"/>
      <c r="O17" s="601"/>
      <c r="P17" s="602"/>
      <c r="Q17" s="602"/>
      <c r="R17" s="601"/>
      <c r="S17" s="747"/>
      <c r="T17" s="783"/>
      <c r="U17" s="783"/>
      <c r="V17" s="786"/>
    </row>
    <row r="18" spans="1:23" s="222" customFormat="1" ht="16.8" x14ac:dyDescent="0.4">
      <c r="A18" s="604">
        <v>45659</v>
      </c>
      <c r="B18" s="601" t="s">
        <v>204</v>
      </c>
      <c r="C18" s="743" t="s">
        <v>188</v>
      </c>
      <c r="D18" s="743" t="s">
        <v>89</v>
      </c>
      <c r="E18" s="602">
        <v>13.5</v>
      </c>
      <c r="F18" s="602">
        <f>E18-G18</f>
        <v>4.33</v>
      </c>
      <c r="G18" s="751">
        <f>G17</f>
        <v>9.17</v>
      </c>
      <c r="H18" s="784"/>
      <c r="I18" s="602"/>
      <c r="J18" s="602"/>
      <c r="K18" s="230"/>
      <c r="L18" s="602"/>
      <c r="M18" s="601"/>
      <c r="N18" s="747"/>
      <c r="O18" s="601"/>
      <c r="P18" s="602"/>
      <c r="Q18" s="602"/>
      <c r="R18" s="601"/>
      <c r="S18" s="747"/>
      <c r="T18" s="783"/>
      <c r="U18" s="783"/>
      <c r="V18" s="786"/>
    </row>
    <row r="19" spans="1:23" s="222" customFormat="1" ht="16.8" x14ac:dyDescent="0.4">
      <c r="A19" s="604">
        <v>45785</v>
      </c>
      <c r="B19" s="601" t="s">
        <v>200</v>
      </c>
      <c r="C19" s="743" t="s">
        <v>188</v>
      </c>
      <c r="D19" s="743" t="s">
        <v>52</v>
      </c>
      <c r="E19" s="602">
        <v>13</v>
      </c>
      <c r="F19" s="602">
        <v>1.44</v>
      </c>
      <c r="G19" s="751">
        <f>E19-F19</f>
        <v>11.56</v>
      </c>
      <c r="H19" s="784"/>
      <c r="I19" s="602">
        <f>AVERAGE(SiteN_Probes_20250508!B12:B15)/100</f>
        <v>4.5075000000000003</v>
      </c>
      <c r="J19" s="602">
        <f>SiteN_Probes_20250508!I3</f>
        <v>4.4712500000000004</v>
      </c>
      <c r="K19" s="230">
        <f>SiteB_PitCore_20250507!I4</f>
        <v>0.44723778553461419</v>
      </c>
      <c r="L19" s="602">
        <f>G19-I19</f>
        <v>7.0525000000000002</v>
      </c>
      <c r="M19" s="601"/>
      <c r="N19" s="747"/>
      <c r="O19" s="602"/>
      <c r="P19" s="602">
        <f>K19*I19</f>
        <v>2.0159243182972735</v>
      </c>
      <c r="Q19" s="602"/>
      <c r="R19" s="601">
        <v>0</v>
      </c>
      <c r="S19" s="747"/>
      <c r="T19" s="783">
        <v>394828.29</v>
      </c>
      <c r="U19" s="783">
        <v>6697066.9740000004</v>
      </c>
      <c r="V19" s="786">
        <v>995.33600000000001</v>
      </c>
    </row>
    <row r="20" spans="1:23" s="222" customFormat="1" ht="16.8" x14ac:dyDescent="0.4">
      <c r="A20" s="604">
        <v>45785</v>
      </c>
      <c r="B20" s="601" t="s">
        <v>200</v>
      </c>
      <c r="C20" s="743" t="s">
        <v>188</v>
      </c>
      <c r="D20" s="743" t="s">
        <v>52</v>
      </c>
      <c r="E20" s="602">
        <v>13</v>
      </c>
      <c r="F20" s="602">
        <v>1.44</v>
      </c>
      <c r="G20" s="751">
        <f>E20-F20</f>
        <v>11.56</v>
      </c>
      <c r="H20" s="784"/>
      <c r="I20" s="602"/>
      <c r="J20" s="602"/>
      <c r="K20" s="230"/>
      <c r="L20" s="602"/>
      <c r="M20" s="601"/>
      <c r="N20" s="747"/>
      <c r="O20" s="601"/>
      <c r="P20" s="602"/>
      <c r="Q20" s="602"/>
      <c r="R20" s="601"/>
      <c r="S20" s="747"/>
      <c r="T20" s="783">
        <v>394828.29</v>
      </c>
      <c r="U20" s="783">
        <v>6697066.9740000004</v>
      </c>
      <c r="V20" s="786">
        <v>995.33600000000001</v>
      </c>
    </row>
    <row r="21" spans="1:23" ht="14.4" x14ac:dyDescent="0.3">
      <c r="A21" s="70"/>
      <c r="B21" s="70"/>
      <c r="C21" s="213"/>
      <c r="D21" s="213"/>
      <c r="E21" s="71"/>
      <c r="F21" s="71"/>
      <c r="G21" s="206"/>
      <c r="H21" s="209"/>
      <c r="I21" s="70"/>
      <c r="J21" s="70"/>
      <c r="K21" s="154"/>
      <c r="L21" s="70"/>
      <c r="M21" s="70"/>
      <c r="N21" s="206"/>
      <c r="O21" s="70"/>
      <c r="P21" s="70"/>
      <c r="Q21" s="71"/>
      <c r="R21" s="70"/>
      <c r="S21" s="206"/>
      <c r="T21" s="70"/>
      <c r="U21" s="70"/>
      <c r="V21" s="106"/>
    </row>
    <row r="22" spans="1:23" ht="14.4" x14ac:dyDescent="0.3">
      <c r="A22" s="841">
        <v>45785</v>
      </c>
      <c r="B22" s="839" t="s">
        <v>200</v>
      </c>
      <c r="C22" s="894" t="s">
        <v>226</v>
      </c>
      <c r="D22" s="894" t="s">
        <v>52</v>
      </c>
      <c r="E22" s="840">
        <v>12</v>
      </c>
      <c r="F22" s="840">
        <v>0.01</v>
      </c>
      <c r="G22" s="895">
        <f>E22-F22</f>
        <v>11.99</v>
      </c>
      <c r="H22" s="897"/>
      <c r="I22" s="840">
        <f>AVERAGE(SiteN_Probes_20250508!B16:B19)/100</f>
        <v>4.4349999999999996</v>
      </c>
      <c r="J22" s="840">
        <f>SiteN_Probes_20250508!I3</f>
        <v>4.4712500000000004</v>
      </c>
      <c r="K22" s="158">
        <f>SiteB_PitCore_20250507!I4</f>
        <v>0.44723778553461419</v>
      </c>
      <c r="L22" s="840">
        <f>G22-I22</f>
        <v>7.5550000000000006</v>
      </c>
      <c r="M22" s="839"/>
      <c r="N22" s="896"/>
      <c r="O22" s="840"/>
      <c r="P22" s="840">
        <f>K22*I22</f>
        <v>1.9834995788460137</v>
      </c>
      <c r="Q22" s="840"/>
      <c r="R22" s="839"/>
      <c r="S22" s="896"/>
      <c r="T22" s="839">
        <v>394854.97</v>
      </c>
      <c r="U22" s="839">
        <v>6697107.1229999997</v>
      </c>
      <c r="V22" s="152">
        <v>996.97900000000004</v>
      </c>
      <c r="W22" s="129"/>
    </row>
    <row r="23" spans="1:23" ht="14.4" x14ac:dyDescent="0.3">
      <c r="A23" s="841">
        <v>45785</v>
      </c>
      <c r="B23" s="839" t="s">
        <v>200</v>
      </c>
      <c r="C23" s="894" t="s">
        <v>226</v>
      </c>
      <c r="D23" s="894" t="s">
        <v>52</v>
      </c>
      <c r="E23" s="840">
        <v>10</v>
      </c>
      <c r="F23" s="840">
        <f>E23-G23</f>
        <v>-1.9900000000000002</v>
      </c>
      <c r="G23" s="895">
        <f>G22</f>
        <v>11.99</v>
      </c>
      <c r="H23" s="897"/>
      <c r="I23" s="839"/>
      <c r="J23" s="839"/>
      <c r="K23" s="155"/>
      <c r="L23" s="839"/>
      <c r="M23" s="839"/>
      <c r="N23" s="896"/>
      <c r="O23" s="839"/>
      <c r="P23" s="839"/>
      <c r="Q23" s="840"/>
      <c r="R23" s="839"/>
      <c r="S23" s="896"/>
      <c r="T23" s="839"/>
      <c r="U23" s="839"/>
      <c r="V23" s="152"/>
      <c r="W23" s="129"/>
    </row>
    <row r="24" spans="1:23" ht="14.4" x14ac:dyDescent="0.3">
      <c r="A24" s="839"/>
      <c r="B24" s="839"/>
      <c r="C24" s="894"/>
      <c r="D24" s="894"/>
      <c r="E24" s="840"/>
      <c r="F24" s="840"/>
      <c r="G24" s="896"/>
      <c r="H24" s="897"/>
      <c r="I24" s="839"/>
      <c r="J24" s="839"/>
      <c r="K24" s="155"/>
      <c r="L24" s="839"/>
      <c r="M24" s="839"/>
      <c r="N24" s="896"/>
      <c r="O24" s="839"/>
      <c r="P24" s="839"/>
      <c r="Q24" s="840"/>
      <c r="R24" s="839"/>
      <c r="S24" s="896"/>
      <c r="T24" s="839"/>
      <c r="U24" s="839"/>
      <c r="V24" s="152"/>
      <c r="W24" s="129"/>
    </row>
    <row r="25" spans="1:23" ht="14.4" x14ac:dyDescent="0.3">
      <c r="A25" s="839"/>
      <c r="B25" s="839"/>
      <c r="C25" s="894"/>
      <c r="D25" s="894"/>
      <c r="E25" s="840"/>
      <c r="F25" s="840"/>
      <c r="G25" s="896"/>
      <c r="H25" s="897"/>
      <c r="I25" s="839"/>
      <c r="J25" s="839"/>
      <c r="K25" s="155"/>
      <c r="L25" s="839"/>
      <c r="M25" s="839"/>
      <c r="N25" s="896"/>
      <c r="O25" s="839"/>
      <c r="P25" s="839"/>
      <c r="Q25" s="840"/>
      <c r="R25" s="839"/>
      <c r="S25" s="896"/>
      <c r="T25" s="839"/>
      <c r="U25" s="839"/>
      <c r="V25" s="152"/>
      <c r="W25" s="129"/>
    </row>
    <row r="26" spans="1:23" ht="15" thickBot="1" x14ac:dyDescent="0.35">
      <c r="A26" s="70"/>
      <c r="B26" s="70"/>
      <c r="C26" s="70"/>
      <c r="D26" s="70"/>
      <c r="E26" s="71"/>
      <c r="F26" s="71"/>
      <c r="G26" s="70"/>
      <c r="H26" s="70"/>
      <c r="I26" s="70"/>
      <c r="J26" s="70"/>
      <c r="L26" s="70"/>
      <c r="M26" s="70"/>
      <c r="N26" s="70"/>
      <c r="O26" s="70"/>
      <c r="P26" s="70"/>
      <c r="Q26" s="71"/>
      <c r="R26" s="70"/>
      <c r="S26" s="70"/>
      <c r="T26" s="70"/>
      <c r="U26" s="70"/>
    </row>
    <row r="27" spans="1:23" ht="14.4" customHeight="1" x14ac:dyDescent="0.3">
      <c r="A27" s="932" t="s">
        <v>37</v>
      </c>
      <c r="B27" s="933"/>
      <c r="C27" s="936" t="s">
        <v>38</v>
      </c>
      <c r="D27" s="937"/>
      <c r="E27" s="126" t="s">
        <v>39</v>
      </c>
      <c r="F27" s="111"/>
      <c r="G27" s="73" t="s">
        <v>40</v>
      </c>
      <c r="H27" s="111"/>
      <c r="I27" s="75" t="s">
        <v>41</v>
      </c>
      <c r="Q27" s="220"/>
      <c r="R27" s="108"/>
      <c r="S27" s="108"/>
      <c r="T27" s="108"/>
      <c r="U27" s="70"/>
    </row>
    <row r="28" spans="1:23" ht="14.4" customHeight="1" x14ac:dyDescent="0.3">
      <c r="A28" s="934"/>
      <c r="B28" s="935"/>
      <c r="C28" s="77" t="s">
        <v>42</v>
      </c>
      <c r="D28" s="77" t="s">
        <v>43</v>
      </c>
      <c r="E28" s="893">
        <f>A16</f>
        <v>45552</v>
      </c>
      <c r="F28" s="77"/>
      <c r="G28" s="893">
        <f>A19</f>
        <v>45785</v>
      </c>
      <c r="H28" s="77"/>
      <c r="I28" s="898" t="s">
        <v>54</v>
      </c>
      <c r="Q28" s="220"/>
      <c r="R28" s="112"/>
      <c r="S28" s="112"/>
      <c r="T28" s="108"/>
      <c r="U28" s="70"/>
    </row>
    <row r="29" spans="1:23" ht="14.4" x14ac:dyDescent="0.3">
      <c r="A29" s="113"/>
      <c r="B29" s="82" t="s">
        <v>45</v>
      </c>
      <c r="C29" s="83">
        <f>AVERAGE(P19,P22)</f>
        <v>1.9997119485716435</v>
      </c>
      <c r="D29" s="114"/>
      <c r="E29" s="114"/>
      <c r="F29" s="115"/>
      <c r="G29" s="116"/>
      <c r="H29" s="114"/>
      <c r="I29" s="117"/>
      <c r="Q29" s="220"/>
      <c r="R29" s="112"/>
      <c r="S29" s="112"/>
      <c r="T29" s="108"/>
      <c r="U29" s="70"/>
    </row>
    <row r="30" spans="1:23" ht="14.4" x14ac:dyDescent="0.3">
      <c r="A30" s="113"/>
      <c r="B30" s="82" t="s">
        <v>46</v>
      </c>
      <c r="C30" s="83" t="s">
        <v>54</v>
      </c>
      <c r="D30" s="114"/>
      <c r="E30" s="114"/>
      <c r="F30" s="115"/>
      <c r="G30" s="116"/>
      <c r="H30" s="114"/>
      <c r="I30" s="117"/>
      <c r="Q30" s="220"/>
      <c r="R30" s="112"/>
      <c r="S30" s="112"/>
      <c r="T30" s="108"/>
      <c r="U30" s="70"/>
    </row>
    <row r="31" spans="1:23" ht="14.4" x14ac:dyDescent="0.3">
      <c r="A31" s="113"/>
      <c r="B31" s="82" t="s">
        <v>47</v>
      </c>
      <c r="C31" s="83" t="s">
        <v>54</v>
      </c>
      <c r="D31" s="114"/>
      <c r="E31" s="114"/>
      <c r="F31" s="115"/>
      <c r="G31" s="116"/>
      <c r="H31" s="114"/>
      <c r="I31" s="117"/>
      <c r="Q31" s="220"/>
      <c r="R31" s="112"/>
      <c r="S31" s="112"/>
      <c r="T31" s="108"/>
      <c r="U31" s="70"/>
    </row>
    <row r="32" spans="1:23" ht="14.4" x14ac:dyDescent="0.3">
      <c r="A32" s="113"/>
      <c r="B32" s="87" t="s">
        <v>48</v>
      </c>
      <c r="C32" s="83">
        <f>S15</f>
        <v>0</v>
      </c>
      <c r="D32" s="114"/>
      <c r="E32" s="114"/>
      <c r="F32" s="115"/>
      <c r="G32" s="114"/>
      <c r="H32" s="114"/>
      <c r="I32" s="117"/>
      <c r="Q32" s="220"/>
      <c r="R32" s="112"/>
      <c r="S32" s="112"/>
      <c r="T32" s="108"/>
      <c r="U32" s="70"/>
    </row>
    <row r="33" spans="1:21" ht="14.4" x14ac:dyDescent="0.3">
      <c r="A33" s="113"/>
      <c r="B33" s="88" t="s">
        <v>49</v>
      </c>
      <c r="C33" s="83">
        <f>R19</f>
        <v>0</v>
      </c>
      <c r="D33" s="114"/>
      <c r="E33" s="114"/>
      <c r="F33" s="115"/>
      <c r="G33" s="114"/>
      <c r="H33" s="114"/>
      <c r="I33" s="117"/>
      <c r="Q33" s="220"/>
      <c r="R33" s="112"/>
      <c r="S33" s="112"/>
      <c r="T33" s="108"/>
      <c r="U33" s="70"/>
    </row>
    <row r="34" spans="1:21" ht="15" thickBot="1" x14ac:dyDescent="0.35">
      <c r="A34" s="118"/>
      <c r="B34" s="90" t="s">
        <v>50</v>
      </c>
      <c r="C34" s="892" t="s">
        <v>54</v>
      </c>
      <c r="D34" s="119"/>
      <c r="E34" s="119"/>
      <c r="F34" s="120"/>
      <c r="G34" s="121"/>
      <c r="H34" s="121"/>
      <c r="I34" s="122"/>
      <c r="Q34" s="220"/>
      <c r="R34" s="112"/>
      <c r="S34" s="112"/>
      <c r="T34" s="108"/>
      <c r="U34" s="70"/>
    </row>
    <row r="35" spans="1:21" ht="14.4" x14ac:dyDescent="0.3">
      <c r="A35" s="70"/>
      <c r="B35" s="70"/>
      <c r="C35" s="70"/>
      <c r="D35" s="70"/>
      <c r="E35" s="71"/>
      <c r="F35" s="70"/>
      <c r="G35" s="70"/>
      <c r="H35" s="70"/>
      <c r="I35" s="70"/>
      <c r="J35" s="70"/>
      <c r="K35" s="70"/>
      <c r="L35" s="70"/>
      <c r="M35" s="70"/>
      <c r="N35" s="70"/>
      <c r="O35" s="70"/>
      <c r="P35" s="70"/>
      <c r="Q35" s="349"/>
      <c r="R35" s="108"/>
      <c r="S35" s="108"/>
      <c r="T35" s="108"/>
      <c r="U35" s="70"/>
    </row>
  </sheetData>
  <mergeCells count="6">
    <mergeCell ref="T1:V1"/>
    <mergeCell ref="T2:U2"/>
    <mergeCell ref="E3:G3"/>
    <mergeCell ref="T3:U3"/>
    <mergeCell ref="A27:B28"/>
    <mergeCell ref="C27:D2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9"/>
  <sheetViews>
    <sheetView zoomScale="80" zoomScaleNormal="80" workbookViewId="0">
      <selection activeCell="L36" sqref="L36"/>
    </sheetView>
  </sheetViews>
  <sheetFormatPr defaultColWidth="17.44140625" defaultRowHeight="15.75" customHeight="1" x14ac:dyDescent="0.3"/>
  <cols>
    <col min="1" max="1" width="12.44140625" style="2" customWidth="1"/>
    <col min="2" max="2" width="27.5546875" style="2" bestFit="1" customWidth="1"/>
    <col min="3" max="3" width="14" style="2" bestFit="1" customWidth="1"/>
    <col min="4" max="4" width="20" style="2" bestFit="1" customWidth="1"/>
    <col min="5" max="5" width="10.5546875" style="3" bestFit="1" customWidth="1"/>
    <col min="6" max="7" width="13.5546875" style="2" bestFit="1" customWidth="1"/>
    <col min="8" max="8" width="14.44140625" style="2" bestFit="1" customWidth="1"/>
    <col min="9" max="9" width="17.44140625" style="3" bestFit="1" customWidth="1"/>
    <col min="10" max="10" width="19.5546875" style="2" bestFit="1" customWidth="1"/>
    <col min="11" max="11" width="16.44140625" style="3" bestFit="1" customWidth="1"/>
    <col min="12" max="12" width="18" style="2" customWidth="1"/>
    <col min="13" max="13" width="22.109375" style="2" customWidth="1"/>
    <col min="14" max="14" width="11.5546875" style="2" bestFit="1" customWidth="1"/>
    <col min="15" max="15" width="11.44140625" style="2" bestFit="1" customWidth="1"/>
    <col min="16" max="16" width="12" style="2" bestFit="1" customWidth="1"/>
    <col min="17" max="17" width="7.88671875" style="3" bestFit="1" customWidth="1"/>
    <col min="18" max="18" width="14.5546875" style="2" bestFit="1" customWidth="1"/>
    <col min="19" max="19" width="20.5546875" style="2" bestFit="1" customWidth="1"/>
    <col min="20" max="20" width="21" style="3" bestFit="1" customWidth="1"/>
    <col min="21" max="21" width="12" style="3" bestFit="1" customWidth="1"/>
    <col min="22" max="22" width="17.44140625" style="3"/>
    <col min="23" max="16384" width="17.44140625" style="2"/>
  </cols>
  <sheetData>
    <row r="1" spans="1:23" ht="14.4" x14ac:dyDescent="0.3">
      <c r="A1" s="5"/>
      <c r="B1" s="6"/>
      <c r="C1" s="7"/>
      <c r="D1" s="8"/>
      <c r="E1" s="123"/>
      <c r="F1" s="10"/>
      <c r="G1" s="11"/>
      <c r="H1" s="12"/>
      <c r="I1" s="95"/>
      <c r="J1" s="13"/>
      <c r="K1" s="347"/>
      <c r="L1" s="14"/>
      <c r="M1" s="15"/>
      <c r="N1" s="11"/>
      <c r="O1" s="16"/>
      <c r="P1" s="17"/>
      <c r="Q1" s="347"/>
      <c r="R1" s="17"/>
      <c r="S1" s="18"/>
      <c r="T1" s="943" t="s">
        <v>9</v>
      </c>
      <c r="U1" s="944"/>
      <c r="V1" s="945"/>
      <c r="W1" s="19"/>
    </row>
    <row r="2" spans="1:23" ht="14.4" x14ac:dyDescent="0.3">
      <c r="A2" s="20"/>
      <c r="B2" s="21"/>
      <c r="C2" s="22"/>
      <c r="D2" s="23"/>
      <c r="E2" s="124"/>
      <c r="F2" s="809"/>
      <c r="G2" s="24"/>
      <c r="H2" s="25"/>
      <c r="I2" s="96"/>
      <c r="J2" s="26"/>
      <c r="K2" s="708"/>
      <c r="L2" s="28"/>
      <c r="M2" s="29"/>
      <c r="N2" s="26"/>
      <c r="O2" s="1"/>
      <c r="S2" s="4"/>
      <c r="T2" s="946" t="s">
        <v>10</v>
      </c>
      <c r="U2" s="947"/>
      <c r="V2" s="711"/>
      <c r="W2" s="30"/>
    </row>
    <row r="3" spans="1:23" ht="14.4" x14ac:dyDescent="0.3">
      <c r="A3" s="20"/>
      <c r="B3" s="21"/>
      <c r="C3" s="22"/>
      <c r="D3" s="31"/>
      <c r="E3" s="927" t="s">
        <v>11</v>
      </c>
      <c r="F3" s="928"/>
      <c r="G3" s="929"/>
      <c r="H3" s="32"/>
      <c r="I3" s="97"/>
      <c r="J3" s="26"/>
      <c r="K3" s="97"/>
      <c r="L3" s="33"/>
      <c r="M3" s="34"/>
      <c r="N3" s="26"/>
      <c r="O3" s="35"/>
      <c r="P3" s="26"/>
      <c r="Q3" s="97"/>
      <c r="R3" s="36"/>
      <c r="S3" s="37"/>
      <c r="T3" s="948" t="s">
        <v>12</v>
      </c>
      <c r="U3" s="949"/>
      <c r="V3" s="711"/>
      <c r="W3" s="38"/>
    </row>
    <row r="4" spans="1:23" s="52" customFormat="1" ht="39.6" x14ac:dyDescent="0.3">
      <c r="A4" s="39" t="s">
        <v>13</v>
      </c>
      <c r="B4" s="40" t="s">
        <v>14</v>
      </c>
      <c r="C4" s="41" t="s">
        <v>15</v>
      </c>
      <c r="D4" s="42" t="s">
        <v>16</v>
      </c>
      <c r="E4" s="125" t="s">
        <v>17</v>
      </c>
      <c r="F4" s="40" t="s">
        <v>18</v>
      </c>
      <c r="G4" s="44" t="s">
        <v>19</v>
      </c>
      <c r="H4" s="45" t="s">
        <v>20</v>
      </c>
      <c r="I4" s="98" t="s">
        <v>21</v>
      </c>
      <c r="J4" s="44" t="s">
        <v>22</v>
      </c>
      <c r="K4" s="98" t="s">
        <v>23</v>
      </c>
      <c r="L4" s="46" t="s">
        <v>24</v>
      </c>
      <c r="M4" s="46" t="s">
        <v>25</v>
      </c>
      <c r="N4" s="44" t="s">
        <v>26</v>
      </c>
      <c r="O4" s="47" t="s">
        <v>27</v>
      </c>
      <c r="P4" s="44" t="s">
        <v>28</v>
      </c>
      <c r="Q4" s="98" t="s">
        <v>29</v>
      </c>
      <c r="R4" s="48" t="s">
        <v>7</v>
      </c>
      <c r="S4" s="49" t="s">
        <v>8</v>
      </c>
      <c r="T4" s="50" t="s">
        <v>30</v>
      </c>
      <c r="U4" s="50" t="s">
        <v>31</v>
      </c>
      <c r="V4" s="712" t="s">
        <v>2</v>
      </c>
      <c r="W4" s="41" t="s">
        <v>32</v>
      </c>
    </row>
    <row r="5" spans="1:23" ht="15" thickBot="1" x14ac:dyDescent="0.35">
      <c r="A5" s="53" t="s">
        <v>33</v>
      </c>
      <c r="B5" s="54"/>
      <c r="C5" s="55"/>
      <c r="D5" s="56"/>
      <c r="E5" s="65" t="s">
        <v>34</v>
      </c>
      <c r="F5" s="57" t="s">
        <v>34</v>
      </c>
      <c r="G5" s="57" t="s">
        <v>34</v>
      </c>
      <c r="H5" s="131" t="s">
        <v>34</v>
      </c>
      <c r="I5" s="132" t="s">
        <v>34</v>
      </c>
      <c r="J5" s="57" t="s">
        <v>34</v>
      </c>
      <c r="K5" s="348" t="s">
        <v>35</v>
      </c>
      <c r="L5" s="59" t="s">
        <v>34</v>
      </c>
      <c r="M5" s="60" t="s">
        <v>34</v>
      </c>
      <c r="N5" s="60" t="s">
        <v>35</v>
      </c>
      <c r="O5" s="61" t="s">
        <v>36</v>
      </c>
      <c r="P5" s="62" t="s">
        <v>36</v>
      </c>
      <c r="Q5" s="348" t="s">
        <v>36</v>
      </c>
      <c r="R5" s="63" t="s">
        <v>36</v>
      </c>
      <c r="S5" s="64" t="s">
        <v>36</v>
      </c>
      <c r="T5" s="65" t="s">
        <v>34</v>
      </c>
      <c r="U5" s="65" t="s">
        <v>34</v>
      </c>
      <c r="V5" s="713" t="s">
        <v>34</v>
      </c>
      <c r="W5" s="67"/>
    </row>
    <row r="6" spans="1:23" ht="14.4" x14ac:dyDescent="0.3">
      <c r="A6" s="272">
        <v>44679</v>
      </c>
      <c r="B6" s="270" t="s">
        <v>81</v>
      </c>
      <c r="C6" s="307" t="s">
        <v>83</v>
      </c>
      <c r="D6" s="307" t="s">
        <v>52</v>
      </c>
      <c r="E6" s="271">
        <v>12.2</v>
      </c>
      <c r="F6" s="271">
        <v>0.24</v>
      </c>
      <c r="G6" s="310">
        <v>11.959999999999999</v>
      </c>
      <c r="H6" s="110"/>
      <c r="I6" s="271">
        <v>3.85</v>
      </c>
      <c r="J6" s="271">
        <v>3.95</v>
      </c>
      <c r="K6" s="306">
        <v>0.46</v>
      </c>
      <c r="L6" s="271">
        <v>8.11</v>
      </c>
      <c r="M6" s="270"/>
      <c r="N6" s="110"/>
      <c r="O6" s="271"/>
      <c r="P6" s="271">
        <v>1.7710000000000001</v>
      </c>
      <c r="Q6" s="271"/>
      <c r="R6" s="273"/>
      <c r="S6" s="312"/>
      <c r="T6" s="273"/>
      <c r="U6" s="273"/>
      <c r="V6" s="716"/>
      <c r="W6" s="205"/>
    </row>
    <row r="7" spans="1:23" ht="14.4" x14ac:dyDescent="0.3">
      <c r="A7" s="272">
        <v>44821</v>
      </c>
      <c r="B7" s="270" t="s">
        <v>81</v>
      </c>
      <c r="C7" s="307" t="s">
        <v>83</v>
      </c>
      <c r="D7" s="307" t="s">
        <v>53</v>
      </c>
      <c r="E7" s="271">
        <v>6.1</v>
      </c>
      <c r="F7" s="271">
        <v>-0.06</v>
      </c>
      <c r="G7" s="310">
        <v>6.1599999999999993</v>
      </c>
      <c r="H7" s="110"/>
      <c r="I7" s="271"/>
      <c r="J7" s="270"/>
      <c r="K7" s="306"/>
      <c r="L7" s="270"/>
      <c r="M7" s="270"/>
      <c r="N7" s="110"/>
      <c r="O7" s="271">
        <v>-3.5260000000000002</v>
      </c>
      <c r="P7" s="271"/>
      <c r="Q7" s="271">
        <v>-1.7550000000000001</v>
      </c>
      <c r="R7" s="273"/>
      <c r="S7" s="312">
        <v>0</v>
      </c>
      <c r="T7" s="273"/>
      <c r="U7" s="273"/>
      <c r="V7" s="716"/>
      <c r="W7" s="205"/>
    </row>
    <row r="8" spans="1:23" ht="14.4" x14ac:dyDescent="0.3">
      <c r="A8" s="272">
        <v>44821</v>
      </c>
      <c r="B8" s="270" t="s">
        <v>81</v>
      </c>
      <c r="C8" s="307" t="s">
        <v>83</v>
      </c>
      <c r="D8" s="307" t="s">
        <v>53</v>
      </c>
      <c r="E8" s="271">
        <v>10.45</v>
      </c>
      <c r="F8" s="271">
        <v>4.2899999999999991</v>
      </c>
      <c r="G8" s="110">
        <v>6.16</v>
      </c>
      <c r="H8" s="110"/>
      <c r="I8" s="271"/>
      <c r="J8" s="270"/>
      <c r="K8" s="306"/>
      <c r="L8" s="270"/>
      <c r="M8" s="270"/>
      <c r="N8" s="110"/>
      <c r="O8" s="271"/>
      <c r="P8" s="271"/>
      <c r="Q8" s="271"/>
      <c r="R8" s="273"/>
      <c r="S8" s="312"/>
      <c r="T8" s="273"/>
      <c r="U8" s="273"/>
      <c r="V8" s="716"/>
      <c r="W8" s="205"/>
    </row>
    <row r="9" spans="1:23" ht="14.4" x14ac:dyDescent="0.3">
      <c r="A9" s="272">
        <v>45052</v>
      </c>
      <c r="B9" s="270" t="s">
        <v>102</v>
      </c>
      <c r="C9" s="307" t="s">
        <v>83</v>
      </c>
      <c r="D9" s="307" t="s">
        <v>52</v>
      </c>
      <c r="E9" s="271">
        <v>12.2</v>
      </c>
      <c r="F9" s="271">
        <v>3.4699999999999989</v>
      </c>
      <c r="G9" s="110">
        <v>8.73</v>
      </c>
      <c r="H9" s="110"/>
      <c r="I9" s="271"/>
      <c r="J9" s="271">
        <v>2.5949999999999998</v>
      </c>
      <c r="K9" s="306">
        <v>0.43</v>
      </c>
      <c r="L9" s="271">
        <v>6.1350000000000007</v>
      </c>
      <c r="M9" s="270"/>
      <c r="N9" s="110"/>
      <c r="O9" s="271"/>
      <c r="P9" s="271">
        <v>1.1158499999999998</v>
      </c>
      <c r="Q9" s="271"/>
      <c r="R9" s="273">
        <v>-2.249999999999952E-2</v>
      </c>
      <c r="S9" s="312"/>
      <c r="T9" s="271">
        <v>394976.75599999999</v>
      </c>
      <c r="U9" s="271">
        <v>6697915.6560000004</v>
      </c>
      <c r="V9" s="291">
        <v>1054.7239999999999</v>
      </c>
      <c r="W9" s="205"/>
    </row>
    <row r="10" spans="1:23" ht="14.4" x14ac:dyDescent="0.3">
      <c r="A10" s="272">
        <v>45176</v>
      </c>
      <c r="B10" s="270" t="s">
        <v>93</v>
      </c>
      <c r="C10" s="307" t="s">
        <v>83</v>
      </c>
      <c r="D10" s="307" t="s">
        <v>53</v>
      </c>
      <c r="E10" s="271">
        <v>6.1</v>
      </c>
      <c r="F10" s="271">
        <v>2.29</v>
      </c>
      <c r="G10" s="310">
        <v>3.8099999999999996</v>
      </c>
      <c r="H10" s="110"/>
      <c r="I10" s="271"/>
      <c r="J10" s="271"/>
      <c r="K10" s="306"/>
      <c r="L10" s="271"/>
      <c r="M10" s="270"/>
      <c r="N10" s="110"/>
      <c r="O10" s="271">
        <v>-1.1158499999999998</v>
      </c>
      <c r="P10" s="271"/>
      <c r="Q10" s="271">
        <v>-2.0925000000000011</v>
      </c>
      <c r="R10" s="273"/>
      <c r="S10" s="312">
        <v>0</v>
      </c>
      <c r="T10" s="273"/>
      <c r="U10" s="273"/>
      <c r="V10" s="716"/>
      <c r="W10" s="205"/>
    </row>
    <row r="11" spans="1:23" ht="14.4" x14ac:dyDescent="0.3">
      <c r="A11" s="272">
        <v>45176</v>
      </c>
      <c r="B11" s="270" t="s">
        <v>93</v>
      </c>
      <c r="C11" s="307" t="s">
        <v>83</v>
      </c>
      <c r="D11" s="307" t="s">
        <v>53</v>
      </c>
      <c r="E11" s="271">
        <v>8.1</v>
      </c>
      <c r="F11" s="271">
        <v>4.2899999999999991</v>
      </c>
      <c r="G11" s="110">
        <v>3.81</v>
      </c>
      <c r="H11" s="310">
        <v>-2.3250000000000006</v>
      </c>
      <c r="I11" s="271"/>
      <c r="J11" s="271"/>
      <c r="K11" s="306"/>
      <c r="L11" s="271"/>
      <c r="M11" s="270"/>
      <c r="N11" s="110"/>
      <c r="O11" s="271"/>
      <c r="P11" s="271"/>
      <c r="Q11" s="271"/>
      <c r="R11" s="273"/>
      <c r="S11" s="312"/>
      <c r="T11" s="273"/>
      <c r="U11" s="273"/>
      <c r="V11" s="716"/>
      <c r="W11" s="205"/>
    </row>
    <row r="12" spans="1:23" ht="14.4" x14ac:dyDescent="0.3">
      <c r="A12" s="272">
        <v>45406</v>
      </c>
      <c r="B12" s="270" t="s">
        <v>194</v>
      </c>
      <c r="C12" s="307" t="s">
        <v>83</v>
      </c>
      <c r="D12" s="307" t="s">
        <v>52</v>
      </c>
      <c r="E12" s="271">
        <v>8.1</v>
      </c>
      <c r="F12" s="271">
        <v>1.1599999999999999</v>
      </c>
      <c r="G12" s="310">
        <v>6.9399999999999995</v>
      </c>
      <c r="H12" s="310">
        <v>0.23799999999999999</v>
      </c>
      <c r="I12" s="271">
        <v>2.8919999999999999</v>
      </c>
      <c r="J12" s="271">
        <v>2.8963157894736842</v>
      </c>
      <c r="K12" s="306">
        <v>0.42462765384672868</v>
      </c>
      <c r="L12" s="271">
        <v>4.048</v>
      </c>
      <c r="M12" s="270"/>
      <c r="N12" s="110"/>
      <c r="O12" s="271"/>
      <c r="P12" s="271">
        <v>1.2280231749247392</v>
      </c>
      <c r="Q12" s="271"/>
      <c r="R12" s="273" t="s">
        <v>54</v>
      </c>
      <c r="S12" s="312"/>
      <c r="T12" s="271">
        <v>394991.413</v>
      </c>
      <c r="U12" s="271">
        <v>6697867.7209999999</v>
      </c>
      <c r="V12" s="291">
        <v>1048.3979999999999</v>
      </c>
      <c r="W12" s="205"/>
    </row>
    <row r="13" spans="1:23" ht="14.4" x14ac:dyDescent="0.3">
      <c r="A13" s="272">
        <v>45552</v>
      </c>
      <c r="B13" s="270" t="s">
        <v>186</v>
      </c>
      <c r="C13" s="307" t="s">
        <v>83</v>
      </c>
      <c r="D13" s="307" t="s">
        <v>53</v>
      </c>
      <c r="E13" s="271">
        <v>3.05</v>
      </c>
      <c r="F13" s="271">
        <v>1.38</v>
      </c>
      <c r="G13" s="310">
        <v>1.67</v>
      </c>
      <c r="H13" s="310"/>
      <c r="I13" s="271"/>
      <c r="J13" s="271"/>
      <c r="K13" s="306"/>
      <c r="L13" s="271"/>
      <c r="M13" s="270"/>
      <c r="N13" s="110"/>
      <c r="O13" s="271">
        <v>-3.3682231749247391</v>
      </c>
      <c r="P13" s="271"/>
      <c r="Q13" s="271">
        <v>-2.1402000000000001</v>
      </c>
      <c r="R13" s="273"/>
      <c r="S13" s="312">
        <v>0</v>
      </c>
      <c r="T13" s="271">
        <v>395000.902</v>
      </c>
      <c r="U13" s="271">
        <v>6697851.0789999999</v>
      </c>
      <c r="V13" s="291">
        <v>1044.5219999999999</v>
      </c>
      <c r="W13" s="205"/>
    </row>
    <row r="14" spans="1:23" ht="14.4" x14ac:dyDescent="0.3">
      <c r="A14" s="272">
        <v>45552</v>
      </c>
      <c r="B14" s="270" t="s">
        <v>186</v>
      </c>
      <c r="C14" s="307" t="s">
        <v>83</v>
      </c>
      <c r="D14" s="307" t="s">
        <v>53</v>
      </c>
      <c r="E14" s="271">
        <v>6.1</v>
      </c>
      <c r="F14" s="271">
        <v>4.43</v>
      </c>
      <c r="G14" s="310">
        <v>1.67</v>
      </c>
      <c r="H14" s="310"/>
      <c r="I14" s="271"/>
      <c r="J14" s="271"/>
      <c r="K14" s="306"/>
      <c r="L14" s="271"/>
      <c r="M14" s="270"/>
      <c r="N14" s="110"/>
      <c r="O14" s="271"/>
      <c r="P14" s="271"/>
      <c r="Q14" s="271"/>
      <c r="R14" s="273"/>
      <c r="S14" s="312"/>
      <c r="T14" s="271"/>
      <c r="U14" s="271"/>
      <c r="V14" s="291"/>
      <c r="W14" s="205"/>
    </row>
    <row r="15" spans="1:23" ht="14.4" x14ac:dyDescent="0.3">
      <c r="A15" s="272">
        <v>45784</v>
      </c>
      <c r="B15" s="270" t="s">
        <v>200</v>
      </c>
      <c r="C15" s="307" t="s">
        <v>83</v>
      </c>
      <c r="D15" s="307" t="s">
        <v>52</v>
      </c>
      <c r="E15" s="271" t="s">
        <v>61</v>
      </c>
      <c r="F15" s="271"/>
      <c r="G15" s="310"/>
      <c r="H15" s="310"/>
      <c r="I15" s="271"/>
      <c r="J15" s="271"/>
      <c r="K15" s="306"/>
      <c r="L15" s="271"/>
      <c r="M15" s="270"/>
      <c r="N15" s="110"/>
      <c r="O15" s="271"/>
      <c r="P15" s="271"/>
      <c r="Q15" s="271"/>
      <c r="R15" s="273"/>
      <c r="S15" s="312"/>
      <c r="T15" s="271"/>
      <c r="U15" s="271"/>
      <c r="V15" s="291"/>
      <c r="W15" s="205"/>
    </row>
    <row r="16" spans="1:23" ht="14.4" x14ac:dyDescent="0.3">
      <c r="A16" s="70"/>
      <c r="B16" s="70"/>
      <c r="C16" s="213"/>
      <c r="D16" s="213"/>
      <c r="E16" s="71"/>
      <c r="F16" s="71"/>
      <c r="G16" s="206"/>
      <c r="H16" s="206"/>
      <c r="I16" s="71"/>
      <c r="J16" s="70"/>
      <c r="K16" s="710"/>
      <c r="L16" s="70"/>
      <c r="M16" s="70"/>
      <c r="N16" s="206"/>
      <c r="O16" s="70"/>
      <c r="P16" s="70"/>
      <c r="Q16" s="71"/>
      <c r="R16" s="72"/>
      <c r="S16" s="211"/>
      <c r="T16" s="102"/>
      <c r="U16" s="102"/>
      <c r="V16" s="715"/>
    </row>
    <row r="17" spans="1:23" s="236" customFormat="1" ht="14.4" x14ac:dyDescent="0.3">
      <c r="A17" s="333">
        <v>45052</v>
      </c>
      <c r="B17" s="330" t="s">
        <v>93</v>
      </c>
      <c r="C17" s="334" t="s">
        <v>97</v>
      </c>
      <c r="D17" s="334" t="s">
        <v>52</v>
      </c>
      <c r="E17" s="331">
        <v>12.2</v>
      </c>
      <c r="F17" s="331">
        <v>0.62</v>
      </c>
      <c r="G17" s="339">
        <v>11.58</v>
      </c>
      <c r="H17" s="335"/>
      <c r="I17" s="331"/>
      <c r="J17" s="331">
        <v>2.7574999999999994</v>
      </c>
      <c r="K17" s="340">
        <v>0.43</v>
      </c>
      <c r="L17" s="331">
        <v>8.8225000000000016</v>
      </c>
      <c r="M17" s="330"/>
      <c r="N17" s="335"/>
      <c r="O17" s="330"/>
      <c r="P17" s="331">
        <v>1.1857249999999997</v>
      </c>
      <c r="Q17" s="331"/>
      <c r="R17" s="332"/>
      <c r="S17" s="338"/>
      <c r="T17" s="331">
        <v>394957.91700000002</v>
      </c>
      <c r="U17" s="331">
        <v>6697980.21</v>
      </c>
      <c r="V17" s="244">
        <v>1058.954</v>
      </c>
    </row>
    <row r="18" spans="1:23" s="236" customFormat="1" ht="14.4" x14ac:dyDescent="0.3">
      <c r="A18" s="333">
        <v>45176</v>
      </c>
      <c r="B18" s="330" t="s">
        <v>93</v>
      </c>
      <c r="C18" s="334" t="s">
        <v>97</v>
      </c>
      <c r="D18" s="334" t="s">
        <v>53</v>
      </c>
      <c r="E18" s="331">
        <v>9.15</v>
      </c>
      <c r="F18" s="331">
        <v>2.4500000000000002</v>
      </c>
      <c r="G18" s="339">
        <v>6.7</v>
      </c>
      <c r="H18" s="335"/>
      <c r="I18" s="331"/>
      <c r="J18" s="331"/>
      <c r="K18" s="340"/>
      <c r="L18" s="330"/>
      <c r="M18" s="330"/>
      <c r="N18" s="335"/>
      <c r="O18" s="331">
        <v>-3.095975000000001</v>
      </c>
      <c r="P18" s="331"/>
      <c r="Q18" s="331">
        <v>-1.9102500000000013</v>
      </c>
      <c r="R18" s="332"/>
      <c r="S18" s="338">
        <v>0</v>
      </c>
      <c r="T18" s="714"/>
      <c r="U18" s="714"/>
      <c r="V18" s="343"/>
    </row>
    <row r="19" spans="1:23" s="236" customFormat="1" ht="14.4" x14ac:dyDescent="0.3">
      <c r="A19" s="333">
        <v>45176</v>
      </c>
      <c r="B19" s="330" t="s">
        <v>93</v>
      </c>
      <c r="C19" s="334" t="s">
        <v>97</v>
      </c>
      <c r="D19" s="334" t="s">
        <v>53</v>
      </c>
      <c r="E19" s="331">
        <v>11.15</v>
      </c>
      <c r="F19" s="331">
        <v>4.45</v>
      </c>
      <c r="G19" s="339">
        <v>6.7</v>
      </c>
      <c r="H19" s="335"/>
      <c r="I19" s="331"/>
      <c r="J19" s="331"/>
      <c r="K19" s="340"/>
      <c r="L19" s="330"/>
      <c r="M19" s="330"/>
      <c r="N19" s="335"/>
      <c r="O19" s="330"/>
      <c r="P19" s="331"/>
      <c r="Q19" s="331"/>
      <c r="R19" s="332"/>
      <c r="S19" s="338"/>
      <c r="T19" s="714"/>
      <c r="U19" s="714"/>
      <c r="V19" s="343"/>
    </row>
    <row r="20" spans="1:23" s="236" customFormat="1" ht="14.4" x14ac:dyDescent="0.3">
      <c r="A20" s="333">
        <v>45301</v>
      </c>
      <c r="B20" s="330" t="s">
        <v>103</v>
      </c>
      <c r="C20" s="334" t="s">
        <v>97</v>
      </c>
      <c r="D20" s="334" t="s">
        <v>52</v>
      </c>
      <c r="E20" s="331">
        <v>11.15</v>
      </c>
      <c r="F20" s="331">
        <v>2.6</v>
      </c>
      <c r="G20" s="339">
        <v>8.5500000000000007</v>
      </c>
      <c r="H20" s="339">
        <v>1.8500000000000005</v>
      </c>
      <c r="I20" s="331"/>
      <c r="J20" s="331"/>
      <c r="K20" s="340"/>
      <c r="L20" s="330"/>
      <c r="M20" s="330"/>
      <c r="N20" s="335"/>
      <c r="O20" s="330"/>
      <c r="P20" s="331"/>
      <c r="Q20" s="331"/>
      <c r="R20" s="332"/>
      <c r="S20" s="338"/>
      <c r="T20" s="714"/>
      <c r="U20" s="714"/>
      <c r="V20" s="343"/>
    </row>
    <row r="21" spans="1:23" s="236" customFormat="1" ht="14.4" x14ac:dyDescent="0.3">
      <c r="A21" s="333">
        <v>45301</v>
      </c>
      <c r="B21" s="330" t="s">
        <v>103</v>
      </c>
      <c r="C21" s="334" t="s">
        <v>97</v>
      </c>
      <c r="D21" s="334" t="s">
        <v>52</v>
      </c>
      <c r="E21" s="331">
        <v>12.15</v>
      </c>
      <c r="F21" s="331">
        <v>3.6</v>
      </c>
      <c r="G21" s="339">
        <v>8.5500000000000007</v>
      </c>
      <c r="H21" s="335"/>
      <c r="I21" s="331"/>
      <c r="J21" s="331"/>
      <c r="K21" s="340"/>
      <c r="L21" s="330"/>
      <c r="M21" s="330"/>
      <c r="N21" s="335"/>
      <c r="O21" s="330"/>
      <c r="P21" s="331"/>
      <c r="Q21" s="331"/>
      <c r="R21" s="332"/>
      <c r="S21" s="338"/>
      <c r="T21" s="714"/>
      <c r="U21" s="714"/>
      <c r="V21" s="343"/>
    </row>
    <row r="22" spans="1:23" s="236" customFormat="1" ht="14.4" x14ac:dyDescent="0.3">
      <c r="A22" s="333">
        <v>45406</v>
      </c>
      <c r="B22" s="330" t="s">
        <v>194</v>
      </c>
      <c r="C22" s="334" t="s">
        <v>97</v>
      </c>
      <c r="D22" s="334" t="s">
        <v>52</v>
      </c>
      <c r="E22" s="331">
        <v>12.15</v>
      </c>
      <c r="F22" s="331">
        <v>2.67</v>
      </c>
      <c r="G22" s="339">
        <v>9.48</v>
      </c>
      <c r="H22" s="335"/>
      <c r="I22" s="331"/>
      <c r="J22" s="331"/>
      <c r="K22" s="340"/>
      <c r="L22" s="330"/>
      <c r="M22" s="330"/>
      <c r="N22" s="335"/>
      <c r="O22" s="330"/>
      <c r="P22" s="331"/>
      <c r="Q22" s="331"/>
      <c r="R22" s="332"/>
      <c r="S22" s="338"/>
      <c r="T22" s="714"/>
      <c r="U22" s="714"/>
      <c r="V22" s="343"/>
    </row>
    <row r="23" spans="1:23" s="236" customFormat="1" ht="14.4" x14ac:dyDescent="0.3">
      <c r="A23" s="333">
        <v>45406</v>
      </c>
      <c r="B23" s="330" t="s">
        <v>194</v>
      </c>
      <c r="C23" s="334" t="s">
        <v>97</v>
      </c>
      <c r="D23" s="334" t="s">
        <v>52</v>
      </c>
      <c r="E23" s="331">
        <v>11.15</v>
      </c>
      <c r="F23" s="331">
        <v>1.67</v>
      </c>
      <c r="G23" s="339">
        <v>9.48</v>
      </c>
      <c r="H23" s="335"/>
      <c r="I23" s="331">
        <v>2.8319999999999999</v>
      </c>
      <c r="J23" s="331">
        <v>2.8963157894736842</v>
      </c>
      <c r="K23" s="340">
        <v>0.42462765384672868</v>
      </c>
      <c r="L23" s="331">
        <v>6.6480000000000006</v>
      </c>
      <c r="M23" s="330"/>
      <c r="N23" s="335"/>
      <c r="O23" s="330"/>
      <c r="P23" s="331">
        <v>1.2025455156939355</v>
      </c>
      <c r="Q23" s="331"/>
      <c r="R23" s="332">
        <v>-4.679999999999964E-2</v>
      </c>
      <c r="S23" s="338"/>
      <c r="T23" s="331">
        <v>394976.23599999998</v>
      </c>
      <c r="U23" s="331">
        <v>6697932.4740000004</v>
      </c>
      <c r="V23" s="244">
        <v>1052.5509999999999</v>
      </c>
    </row>
    <row r="24" spans="1:23" s="236" customFormat="1" ht="14.4" x14ac:dyDescent="0.3">
      <c r="A24" s="333">
        <v>45552</v>
      </c>
      <c r="B24" s="330" t="s">
        <v>186</v>
      </c>
      <c r="C24" s="334" t="s">
        <v>97</v>
      </c>
      <c r="D24" s="334" t="s">
        <v>53</v>
      </c>
      <c r="E24" s="331">
        <v>6.1</v>
      </c>
      <c r="F24" s="331">
        <v>1.58</v>
      </c>
      <c r="G24" s="339">
        <v>4.5199999999999996</v>
      </c>
      <c r="H24" s="335"/>
      <c r="I24" s="331"/>
      <c r="J24" s="331"/>
      <c r="K24" s="340"/>
      <c r="L24" s="331"/>
      <c r="M24" s="330"/>
      <c r="N24" s="335"/>
      <c r="O24" s="331">
        <v>-3.1177455156939367</v>
      </c>
      <c r="P24" s="331"/>
      <c r="Q24" s="331">
        <v>-1.9152000000000009</v>
      </c>
      <c r="R24" s="332"/>
      <c r="S24" s="338">
        <v>0</v>
      </c>
      <c r="T24" s="331">
        <v>394987.62599999999</v>
      </c>
      <c r="U24" s="331">
        <v>6697914.2340000002</v>
      </c>
      <c r="V24" s="244">
        <v>1048.97</v>
      </c>
    </row>
    <row r="25" spans="1:23" s="236" customFormat="1" ht="14.4" x14ac:dyDescent="0.3">
      <c r="A25" s="333">
        <v>45552</v>
      </c>
      <c r="B25" s="330" t="s">
        <v>186</v>
      </c>
      <c r="C25" s="334" t="s">
        <v>97</v>
      </c>
      <c r="D25" s="334" t="s">
        <v>53</v>
      </c>
      <c r="E25" s="331">
        <v>9.15</v>
      </c>
      <c r="F25" s="331">
        <v>4.6300000000000008</v>
      </c>
      <c r="G25" s="339">
        <v>4.5199999999999996</v>
      </c>
      <c r="H25" s="335"/>
      <c r="I25" s="331"/>
      <c r="J25" s="331"/>
      <c r="K25" s="340"/>
      <c r="L25" s="331"/>
      <c r="M25" s="330"/>
      <c r="N25" s="335"/>
      <c r="O25" s="330"/>
      <c r="P25" s="331"/>
      <c r="Q25" s="331"/>
      <c r="R25" s="332"/>
      <c r="S25" s="338"/>
      <c r="T25" s="331"/>
      <c r="U25" s="331"/>
      <c r="V25" s="244"/>
    </row>
    <row r="26" spans="1:23" s="236" customFormat="1" ht="14.4" x14ac:dyDescent="0.3">
      <c r="A26" s="333">
        <v>45784</v>
      </c>
      <c r="B26" s="330" t="s">
        <v>200</v>
      </c>
      <c r="C26" s="334" t="s">
        <v>97</v>
      </c>
      <c r="D26" s="334" t="s">
        <v>52</v>
      </c>
      <c r="E26" s="331" t="s">
        <v>61</v>
      </c>
      <c r="F26" s="331"/>
      <c r="G26" s="339"/>
      <c r="H26" s="335"/>
      <c r="I26" s="331"/>
      <c r="J26" s="331"/>
      <c r="K26" s="340"/>
      <c r="L26" s="331"/>
      <c r="M26" s="330"/>
      <c r="N26" s="335"/>
      <c r="O26" s="330"/>
      <c r="P26" s="331"/>
      <c r="Q26" s="331"/>
      <c r="R26" s="332"/>
      <c r="S26" s="338"/>
      <c r="T26" s="331"/>
      <c r="U26" s="331"/>
      <c r="V26" s="244"/>
    </row>
    <row r="27" spans="1:23" ht="14.4" x14ac:dyDescent="0.3">
      <c r="A27" s="70"/>
      <c r="B27" s="70"/>
      <c r="C27" s="213"/>
      <c r="D27" s="213"/>
      <c r="E27" s="71"/>
      <c r="F27" s="71"/>
      <c r="G27" s="206"/>
      <c r="H27" s="206"/>
      <c r="I27" s="71"/>
      <c r="J27" s="70"/>
      <c r="K27" s="710"/>
      <c r="L27" s="70"/>
      <c r="M27" s="70"/>
      <c r="N27" s="206"/>
      <c r="O27" s="70"/>
      <c r="P27" s="70"/>
      <c r="Q27" s="71"/>
      <c r="R27" s="72"/>
      <c r="S27" s="211"/>
      <c r="T27" s="102"/>
      <c r="U27" s="102"/>
      <c r="V27" s="715"/>
    </row>
    <row r="28" spans="1:23" s="696" customFormat="1" ht="14.4" x14ac:dyDescent="0.3">
      <c r="A28" s="697">
        <v>45406</v>
      </c>
      <c r="B28" s="268" t="s">
        <v>186</v>
      </c>
      <c r="C28" s="703" t="s">
        <v>187</v>
      </c>
      <c r="D28" s="703" t="s">
        <v>52</v>
      </c>
      <c r="E28" s="694">
        <v>12</v>
      </c>
      <c r="F28" s="694">
        <v>-0.02</v>
      </c>
      <c r="G28" s="706">
        <v>12.02</v>
      </c>
      <c r="H28" s="218"/>
      <c r="I28" s="694">
        <v>3.13</v>
      </c>
      <c r="J28" s="694">
        <v>2.8963157894736842</v>
      </c>
      <c r="K28" s="707">
        <v>0.42462765384672868</v>
      </c>
      <c r="L28" s="694">
        <v>8.89</v>
      </c>
      <c r="M28" s="268"/>
      <c r="N28" s="218"/>
      <c r="O28" s="268"/>
      <c r="P28" s="694">
        <v>1.3290845565402607</v>
      </c>
      <c r="Q28" s="694"/>
      <c r="R28" s="695"/>
      <c r="S28" s="705"/>
      <c r="T28" s="694">
        <v>394963.11700000003</v>
      </c>
      <c r="U28" s="694">
        <v>6697982.6519999998</v>
      </c>
      <c r="V28" s="717">
        <v>1057.8489999999999</v>
      </c>
    </row>
    <row r="29" spans="1:23" s="696" customFormat="1" ht="14.4" x14ac:dyDescent="0.3">
      <c r="A29" s="697">
        <v>45552</v>
      </c>
      <c r="B29" s="268" t="s">
        <v>103</v>
      </c>
      <c r="C29" s="703" t="s">
        <v>187</v>
      </c>
      <c r="D29" s="787" t="s">
        <v>53</v>
      </c>
      <c r="E29" s="694">
        <v>10</v>
      </c>
      <c r="F29" s="694">
        <v>2.78</v>
      </c>
      <c r="G29" s="706">
        <v>7.2200000000000006</v>
      </c>
      <c r="H29" s="218"/>
      <c r="I29" s="694"/>
      <c r="J29" s="694"/>
      <c r="K29" s="707"/>
      <c r="L29" s="694"/>
      <c r="M29" s="268"/>
      <c r="N29" s="218"/>
      <c r="O29" s="694">
        <v>-2.8320845565402606</v>
      </c>
      <c r="P29" s="694"/>
      <c r="Q29" s="694">
        <v>-1.5029999999999999</v>
      </c>
      <c r="R29" s="695"/>
      <c r="S29" s="705">
        <v>0</v>
      </c>
      <c r="T29" s="694">
        <v>394973.174</v>
      </c>
      <c r="U29" s="694">
        <v>6697961.7759999996</v>
      </c>
      <c r="V29" s="717">
        <v>1052.3130000000001</v>
      </c>
    </row>
    <row r="30" spans="1:23" s="696" customFormat="1" ht="14.4" x14ac:dyDescent="0.3">
      <c r="A30" s="697">
        <v>45552</v>
      </c>
      <c r="B30" s="268" t="s">
        <v>103</v>
      </c>
      <c r="C30" s="703" t="s">
        <v>187</v>
      </c>
      <c r="D30" s="787" t="s">
        <v>53</v>
      </c>
      <c r="E30" s="694">
        <v>11.5</v>
      </c>
      <c r="F30" s="694">
        <v>4.2799999999999994</v>
      </c>
      <c r="G30" s="706">
        <v>7.2200000000000006</v>
      </c>
      <c r="H30" s="218"/>
      <c r="I30" s="694"/>
      <c r="J30" s="694"/>
      <c r="K30" s="707"/>
      <c r="L30" s="694"/>
      <c r="M30" s="268"/>
      <c r="N30" s="218"/>
      <c r="O30" s="268"/>
      <c r="P30" s="694"/>
      <c r="Q30" s="694"/>
      <c r="R30" s="695"/>
      <c r="S30" s="705"/>
      <c r="T30" s="694"/>
      <c r="U30" s="694"/>
      <c r="V30" s="717"/>
    </row>
    <row r="31" spans="1:23" s="696" customFormat="1" ht="14.4" x14ac:dyDescent="0.3">
      <c r="A31" s="697">
        <v>45659</v>
      </c>
      <c r="B31" s="268" t="s">
        <v>200</v>
      </c>
      <c r="C31" s="703" t="s">
        <v>187</v>
      </c>
      <c r="D31" s="787" t="s">
        <v>89</v>
      </c>
      <c r="E31" s="694">
        <v>10</v>
      </c>
      <c r="F31" s="694">
        <v>0.3</v>
      </c>
      <c r="G31" s="706">
        <f>E31-F31</f>
        <v>9.6999999999999993</v>
      </c>
      <c r="H31" s="218"/>
      <c r="I31" s="694"/>
      <c r="J31" s="694"/>
      <c r="K31" s="707"/>
      <c r="L31" s="694"/>
      <c r="M31" s="268"/>
      <c r="N31" s="218"/>
      <c r="O31" s="268"/>
      <c r="P31" s="694"/>
      <c r="Q31" s="694"/>
      <c r="R31" s="695"/>
      <c r="S31" s="705"/>
      <c r="T31" s="694"/>
      <c r="U31" s="694"/>
      <c r="V31" s="717"/>
    </row>
    <row r="32" spans="1:23" s="696" customFormat="1" ht="14.4" x14ac:dyDescent="0.3">
      <c r="A32" s="697">
        <v>45659</v>
      </c>
      <c r="B32" s="268" t="s">
        <v>200</v>
      </c>
      <c r="C32" s="703" t="s">
        <v>187</v>
      </c>
      <c r="D32" s="787" t="s">
        <v>89</v>
      </c>
      <c r="E32" s="694">
        <v>13.5</v>
      </c>
      <c r="F32" s="694">
        <f>E32-G32</f>
        <v>3.8000000000000007</v>
      </c>
      <c r="G32" s="706">
        <f>G31</f>
        <v>9.6999999999999993</v>
      </c>
      <c r="H32" s="218"/>
      <c r="I32" s="694"/>
      <c r="J32" s="694"/>
      <c r="K32" s="707"/>
      <c r="L32" s="694"/>
      <c r="M32" s="268"/>
      <c r="N32" s="218"/>
      <c r="O32" s="268"/>
      <c r="P32" s="694"/>
      <c r="Q32" s="694"/>
      <c r="R32" s="695"/>
      <c r="S32" s="705"/>
      <c r="T32" s="694"/>
      <c r="U32" s="694"/>
      <c r="V32" s="717"/>
      <c r="W32" s="696" t="s">
        <v>203</v>
      </c>
    </row>
    <row r="33" spans="1:23" s="696" customFormat="1" ht="14.4" x14ac:dyDescent="0.3">
      <c r="A33" s="697">
        <v>45784</v>
      </c>
      <c r="B33" s="268" t="s">
        <v>200</v>
      </c>
      <c r="C33" s="703" t="s">
        <v>187</v>
      </c>
      <c r="D33" s="787" t="s">
        <v>52</v>
      </c>
      <c r="E33" s="694" t="s">
        <v>61</v>
      </c>
      <c r="F33" s="694"/>
      <c r="G33" s="706"/>
      <c r="H33" s="218"/>
      <c r="I33" s="694"/>
      <c r="J33" s="694"/>
      <c r="K33" s="707"/>
      <c r="L33" s="694"/>
      <c r="M33" s="268"/>
      <c r="N33" s="218"/>
      <c r="O33" s="268"/>
      <c r="P33" s="694"/>
      <c r="Q33" s="694"/>
      <c r="R33" s="695"/>
      <c r="S33" s="705"/>
      <c r="T33" s="694"/>
      <c r="U33" s="694"/>
      <c r="V33" s="717"/>
    </row>
    <row r="34" spans="1:23" ht="14.4" x14ac:dyDescent="0.3">
      <c r="A34" s="70"/>
      <c r="B34" s="70"/>
      <c r="C34" s="213"/>
      <c r="D34" s="215"/>
      <c r="E34" s="71"/>
      <c r="F34" s="71"/>
      <c r="G34" s="206"/>
      <c r="H34" s="206"/>
      <c r="I34" s="71"/>
      <c r="J34" s="70"/>
      <c r="K34" s="710"/>
      <c r="L34" s="70"/>
      <c r="M34" s="70"/>
      <c r="N34" s="206"/>
      <c r="O34" s="70"/>
      <c r="P34" s="70"/>
      <c r="Q34" s="71"/>
      <c r="R34" s="72"/>
      <c r="S34" s="211"/>
      <c r="T34" s="102"/>
      <c r="U34" s="102"/>
      <c r="V34" s="715"/>
    </row>
    <row r="35" spans="1:23" ht="14.4" x14ac:dyDescent="0.3">
      <c r="A35" s="329">
        <v>45784</v>
      </c>
      <c r="B35" s="326" t="s">
        <v>200</v>
      </c>
      <c r="C35" s="742" t="s">
        <v>242</v>
      </c>
      <c r="D35" s="742" t="s">
        <v>52</v>
      </c>
      <c r="E35" s="327">
        <v>12</v>
      </c>
      <c r="F35" s="327">
        <v>0.14000000000000001</v>
      </c>
      <c r="G35" s="750">
        <f>E35-F35</f>
        <v>11.86</v>
      </c>
      <c r="H35" s="900"/>
      <c r="I35" s="327">
        <f>AVERAGE(SiteB_PitCore_20250507!V13:V16)/100</f>
        <v>5.0475000000000003</v>
      </c>
      <c r="J35" s="327">
        <f>SiteB_PitCore_20250507!I3</f>
        <v>5.1362500000000004</v>
      </c>
      <c r="K35" s="744">
        <f>SiteB_PitCore_20250507!I4</f>
        <v>0.44723778553461419</v>
      </c>
      <c r="L35" s="327">
        <f>G35-I35</f>
        <v>6.8124999999999991</v>
      </c>
      <c r="M35" s="326"/>
      <c r="N35" s="746"/>
      <c r="O35" s="327"/>
      <c r="P35" s="327">
        <f>I35*K35</f>
        <v>2.2574327224859654</v>
      </c>
      <c r="Q35" s="327"/>
      <c r="R35" s="842"/>
      <c r="S35" s="901"/>
      <c r="T35" s="327">
        <v>394951.22700000001</v>
      </c>
      <c r="U35" s="327">
        <v>6698008.0310000004</v>
      </c>
      <c r="V35" s="902">
        <v>1061.653</v>
      </c>
      <c r="W35" s="160"/>
    </row>
    <row r="36" spans="1:23" ht="14.4" x14ac:dyDescent="0.3">
      <c r="A36" s="329">
        <v>45784</v>
      </c>
      <c r="B36" s="326" t="s">
        <v>200</v>
      </c>
      <c r="C36" s="742" t="s">
        <v>242</v>
      </c>
      <c r="D36" s="742" t="s">
        <v>52</v>
      </c>
      <c r="E36" s="327">
        <v>10</v>
      </c>
      <c r="F36" s="327">
        <f>E36-G36</f>
        <v>-1.8599999999999994</v>
      </c>
      <c r="G36" s="750">
        <f>G35</f>
        <v>11.86</v>
      </c>
      <c r="H36" s="900"/>
      <c r="I36" s="327"/>
      <c r="J36" s="326"/>
      <c r="K36" s="744"/>
      <c r="L36" s="326"/>
      <c r="M36" s="326"/>
      <c r="N36" s="746"/>
      <c r="O36" s="326"/>
      <c r="P36" s="326"/>
      <c r="Q36" s="327"/>
      <c r="R36" s="842"/>
      <c r="S36" s="901"/>
      <c r="T36" s="843"/>
      <c r="U36" s="843"/>
      <c r="V36" s="903"/>
      <c r="W36" s="160"/>
    </row>
    <row r="37" spans="1:23" ht="14.4" x14ac:dyDescent="0.3">
      <c r="A37" s="326"/>
      <c r="B37" s="326"/>
      <c r="C37" s="742"/>
      <c r="D37" s="742"/>
      <c r="E37" s="327"/>
      <c r="F37" s="327"/>
      <c r="G37" s="746"/>
      <c r="H37" s="900"/>
      <c r="I37" s="327"/>
      <c r="J37" s="326"/>
      <c r="K37" s="744"/>
      <c r="L37" s="326"/>
      <c r="M37" s="326"/>
      <c r="N37" s="746"/>
      <c r="O37" s="326"/>
      <c r="P37" s="326"/>
      <c r="Q37" s="327"/>
      <c r="R37" s="842"/>
      <c r="S37" s="901"/>
      <c r="T37" s="843"/>
      <c r="U37" s="843"/>
      <c r="V37" s="903"/>
      <c r="W37" s="160"/>
    </row>
    <row r="38" spans="1:23" ht="14.4" x14ac:dyDescent="0.3">
      <c r="A38" s="326"/>
      <c r="B38" s="326"/>
      <c r="C38" s="742"/>
      <c r="D38" s="742"/>
      <c r="E38" s="327"/>
      <c r="F38" s="327"/>
      <c r="G38" s="746"/>
      <c r="H38" s="900"/>
      <c r="I38" s="327"/>
      <c r="J38" s="326"/>
      <c r="K38" s="744"/>
      <c r="L38" s="326"/>
      <c r="M38" s="326"/>
      <c r="N38" s="746"/>
      <c r="O38" s="326"/>
      <c r="P38" s="326"/>
      <c r="Q38" s="327"/>
      <c r="R38" s="842"/>
      <c r="S38" s="901"/>
      <c r="T38" s="843"/>
      <c r="U38" s="843"/>
      <c r="V38" s="903"/>
      <c r="W38" s="160"/>
    </row>
    <row r="39" spans="1:23" ht="14.4" x14ac:dyDescent="0.3">
      <c r="A39" s="326"/>
      <c r="B39" s="326"/>
      <c r="C39" s="742"/>
      <c r="D39" s="742"/>
      <c r="E39" s="327"/>
      <c r="F39" s="327"/>
      <c r="G39" s="746"/>
      <c r="H39" s="900"/>
      <c r="I39" s="327"/>
      <c r="J39" s="326"/>
      <c r="K39" s="744"/>
      <c r="L39" s="326"/>
      <c r="M39" s="326"/>
      <c r="N39" s="746"/>
      <c r="O39" s="326"/>
      <c r="P39" s="326"/>
      <c r="Q39" s="327"/>
      <c r="R39" s="842"/>
      <c r="S39" s="901"/>
      <c r="T39" s="843"/>
      <c r="U39" s="843"/>
      <c r="V39" s="903"/>
      <c r="W39" s="160"/>
    </row>
    <row r="40" spans="1:23" ht="15" thickBot="1" x14ac:dyDescent="0.35">
      <c r="A40" s="70"/>
      <c r="B40" s="70"/>
      <c r="C40" s="70"/>
      <c r="D40" s="70"/>
      <c r="E40" s="71"/>
      <c r="F40" s="71"/>
      <c r="G40" s="70"/>
      <c r="H40" s="70"/>
      <c r="I40" s="71"/>
      <c r="J40" s="70"/>
      <c r="K40" s="71"/>
      <c r="L40" s="70"/>
      <c r="M40" s="70"/>
      <c r="N40" s="70"/>
      <c r="O40" s="70"/>
      <c r="P40" s="70"/>
      <c r="Q40" s="71"/>
      <c r="R40" s="72"/>
      <c r="S40" s="72"/>
      <c r="T40" s="102"/>
      <c r="U40" s="102"/>
    </row>
    <row r="41" spans="1:23" ht="14.4" customHeight="1" x14ac:dyDescent="0.3">
      <c r="A41" s="932" t="s">
        <v>37</v>
      </c>
      <c r="B41" s="933"/>
      <c r="C41" s="936" t="s">
        <v>38</v>
      </c>
      <c r="D41" s="937"/>
      <c r="E41" s="126" t="s">
        <v>39</v>
      </c>
      <c r="F41" s="74"/>
      <c r="G41" s="73" t="s">
        <v>40</v>
      </c>
      <c r="H41" s="74"/>
      <c r="I41" s="99" t="s">
        <v>41</v>
      </c>
      <c r="Q41" s="353"/>
      <c r="R41" s="68"/>
      <c r="S41" s="68"/>
      <c r="T41" s="354"/>
      <c r="U41" s="102"/>
    </row>
    <row r="42" spans="1:23" ht="14.4" customHeight="1" x14ac:dyDescent="0.3">
      <c r="A42" s="934"/>
      <c r="B42" s="935"/>
      <c r="C42" s="824" t="s">
        <v>42</v>
      </c>
      <c r="D42" s="76" t="s">
        <v>43</v>
      </c>
      <c r="E42" s="127">
        <f>A29</f>
        <v>45552</v>
      </c>
      <c r="F42" s="77" t="s">
        <v>44</v>
      </c>
      <c r="G42" s="127">
        <f>A35</f>
        <v>45784</v>
      </c>
      <c r="H42" s="77" t="s">
        <v>44</v>
      </c>
      <c r="I42" s="127" t="s">
        <v>54</v>
      </c>
      <c r="J42" s="1"/>
      <c r="Q42" s="353"/>
      <c r="R42" s="80"/>
      <c r="S42" s="80"/>
      <c r="T42" s="354"/>
      <c r="U42" s="102"/>
    </row>
    <row r="43" spans="1:23" ht="14.4" x14ac:dyDescent="0.3">
      <c r="A43" s="81"/>
      <c r="B43" s="823" t="s">
        <v>45</v>
      </c>
      <c r="C43" s="844">
        <f>AVERAGE(P35,SiteB_PitCore_20250507!I5)</f>
        <v>2.3049517371990182</v>
      </c>
      <c r="D43" s="83"/>
      <c r="E43" s="83"/>
      <c r="F43" s="84"/>
      <c r="G43" s="85"/>
      <c r="H43" s="83"/>
      <c r="I43" s="100"/>
      <c r="Q43" s="353"/>
      <c r="R43" s="80"/>
      <c r="S43" s="80"/>
      <c r="T43" s="354"/>
      <c r="U43" s="102"/>
    </row>
    <row r="44" spans="1:23" ht="14.4" x14ac:dyDescent="0.3">
      <c r="A44" s="81"/>
      <c r="B44" s="823" t="s">
        <v>46</v>
      </c>
      <c r="C44" s="845" t="s">
        <v>54</v>
      </c>
      <c r="D44" s="83"/>
      <c r="E44" s="83"/>
      <c r="F44" s="84"/>
      <c r="G44" s="85"/>
      <c r="H44" s="83"/>
      <c r="I44" s="100"/>
      <c r="Q44" s="353"/>
      <c r="R44" s="80"/>
      <c r="S44" s="80"/>
      <c r="T44" s="354"/>
      <c r="U44" s="102"/>
    </row>
    <row r="45" spans="1:23" ht="14.4" x14ac:dyDescent="0.3">
      <c r="A45" s="81"/>
      <c r="B45" s="823" t="s">
        <v>47</v>
      </c>
      <c r="C45" s="845" t="s">
        <v>54</v>
      </c>
      <c r="D45" s="83"/>
      <c r="E45" s="83"/>
      <c r="F45" s="84"/>
      <c r="G45" s="85"/>
      <c r="H45" s="83"/>
      <c r="I45" s="100"/>
      <c r="Q45" s="353"/>
      <c r="R45" s="80"/>
      <c r="S45" s="80"/>
      <c r="T45" s="354"/>
      <c r="U45" s="102"/>
    </row>
    <row r="46" spans="1:23" ht="14.4" x14ac:dyDescent="0.3">
      <c r="A46" s="81"/>
      <c r="B46" s="825" t="s">
        <v>48</v>
      </c>
      <c r="C46" s="845">
        <f>S29</f>
        <v>0</v>
      </c>
      <c r="D46" s="83"/>
      <c r="E46" s="83"/>
      <c r="F46" s="84"/>
      <c r="G46" s="83"/>
      <c r="H46" s="83"/>
      <c r="I46" s="100"/>
      <c r="Q46" s="353"/>
      <c r="R46" s="80"/>
      <c r="S46" s="80"/>
      <c r="T46" s="354"/>
      <c r="U46" s="102"/>
    </row>
    <row r="47" spans="1:23" ht="14.4" x14ac:dyDescent="0.3">
      <c r="A47" s="81"/>
      <c r="B47" s="826" t="s">
        <v>49</v>
      </c>
      <c r="C47" s="845" t="s">
        <v>54</v>
      </c>
      <c r="D47" s="83"/>
      <c r="E47" s="83"/>
      <c r="F47" s="84"/>
      <c r="G47" s="83"/>
      <c r="H47" s="83"/>
      <c r="I47" s="100"/>
      <c r="Q47" s="353"/>
      <c r="R47" s="80"/>
      <c r="S47" s="80"/>
      <c r="T47" s="354"/>
      <c r="U47" s="102"/>
    </row>
    <row r="48" spans="1:23" ht="15" thickBot="1" x14ac:dyDescent="0.35">
      <c r="A48" s="89"/>
      <c r="B48" s="827" t="s">
        <v>50</v>
      </c>
      <c r="C48" s="846" t="s">
        <v>54</v>
      </c>
      <c r="D48" s="91"/>
      <c r="E48" s="91"/>
      <c r="F48" s="92"/>
      <c r="G48" s="93"/>
      <c r="H48" s="93"/>
      <c r="I48" s="101"/>
      <c r="Q48" s="353"/>
      <c r="R48" s="80"/>
      <c r="S48" s="80"/>
      <c r="T48" s="354"/>
      <c r="U48" s="102"/>
    </row>
    <row r="49" spans="1:21" ht="14.4" x14ac:dyDescent="0.3">
      <c r="A49" s="72"/>
      <c r="B49" s="72"/>
      <c r="C49" s="72"/>
      <c r="D49" s="72"/>
      <c r="E49" s="102"/>
      <c r="F49" s="72"/>
      <c r="G49" s="72"/>
      <c r="H49" s="72"/>
      <c r="I49" s="102"/>
      <c r="J49" s="72"/>
      <c r="K49" s="102"/>
      <c r="L49" s="72"/>
      <c r="M49" s="72"/>
      <c r="N49" s="72"/>
      <c r="O49" s="72"/>
      <c r="P49" s="72"/>
      <c r="Q49" s="354"/>
      <c r="R49" s="68"/>
      <c r="S49" s="68"/>
      <c r="T49" s="354"/>
      <c r="U49" s="102"/>
    </row>
  </sheetData>
  <mergeCells count="6">
    <mergeCell ref="T1:V1"/>
    <mergeCell ref="T2:U2"/>
    <mergeCell ref="E3:G3"/>
    <mergeCell ref="T3:U3"/>
    <mergeCell ref="A41:B42"/>
    <mergeCell ref="C41:D41"/>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4"/>
  <sheetViews>
    <sheetView topLeftCell="A10" zoomScale="85" zoomScaleNormal="85" workbookViewId="0">
      <selection activeCell="L61" sqref="L61"/>
    </sheetView>
  </sheetViews>
  <sheetFormatPr defaultColWidth="17.44140625" defaultRowHeight="15.75" customHeight="1" x14ac:dyDescent="0.3"/>
  <cols>
    <col min="1" max="1" width="12.44140625" style="2" customWidth="1"/>
    <col min="2" max="2" width="27.44140625" style="2" customWidth="1"/>
    <col min="3" max="3" width="11.44140625" style="2" bestFit="1" customWidth="1"/>
    <col min="4" max="4" width="20" style="2" bestFit="1" customWidth="1"/>
    <col min="5" max="5" width="13" style="2" bestFit="1" customWidth="1"/>
    <col min="6" max="7" width="13.5546875" style="2" bestFit="1" customWidth="1"/>
    <col min="8" max="8" width="14.44140625" style="2" bestFit="1" customWidth="1"/>
    <col min="9" max="9" width="17.44140625" style="3" bestFit="1" customWidth="1"/>
    <col min="10" max="10" width="19.5546875" style="2" bestFit="1" customWidth="1"/>
    <col min="11" max="11" width="16.44140625" style="2" bestFit="1" customWidth="1"/>
    <col min="12" max="12" width="18" style="2" customWidth="1"/>
    <col min="13" max="13" width="22.109375" style="2" customWidth="1"/>
    <col min="14" max="14" width="11.5546875" style="2" bestFit="1" customWidth="1"/>
    <col min="15" max="15" width="11.44140625" style="3" bestFit="1" customWidth="1"/>
    <col min="16" max="16" width="12" style="2" bestFit="1" customWidth="1"/>
    <col min="17" max="17" width="7.88671875" style="3" bestFit="1" customWidth="1"/>
    <col min="18" max="19" width="20.5546875" style="2" bestFit="1" customWidth="1"/>
    <col min="20" max="20" width="21" style="2" bestFit="1" customWidth="1"/>
    <col min="21" max="21" width="13.44140625" style="2" bestFit="1" customWidth="1"/>
    <col min="22" max="16384" width="17.44140625" style="2"/>
  </cols>
  <sheetData>
    <row r="1" spans="1:26" ht="14.4" x14ac:dyDescent="0.3">
      <c r="A1" s="5"/>
      <c r="B1" s="6"/>
      <c r="C1" s="7"/>
      <c r="D1" s="8"/>
      <c r="E1" s="9"/>
      <c r="F1" s="10"/>
      <c r="G1" s="11"/>
      <c r="H1" s="12"/>
      <c r="I1" s="95"/>
      <c r="J1" s="13"/>
      <c r="K1" s="10"/>
      <c r="L1" s="14"/>
      <c r="M1" s="15"/>
      <c r="N1" s="11"/>
      <c r="O1" s="847"/>
      <c r="P1" s="17"/>
      <c r="Q1" s="722"/>
      <c r="R1" s="17"/>
      <c r="S1" s="18"/>
      <c r="T1" s="938" t="s">
        <v>9</v>
      </c>
      <c r="U1" s="939"/>
      <c r="V1" s="940"/>
      <c r="W1" s="19"/>
    </row>
    <row r="2" spans="1:26" ht="14.4" x14ac:dyDescent="0.3">
      <c r="A2" s="20"/>
      <c r="B2" s="21"/>
      <c r="C2" s="22"/>
      <c r="D2" s="23"/>
      <c r="E2" s="808"/>
      <c r="F2" s="809"/>
      <c r="G2" s="24"/>
      <c r="H2" s="25"/>
      <c r="I2" s="96"/>
      <c r="J2" s="26"/>
      <c r="K2" s="27"/>
      <c r="L2" s="28"/>
      <c r="M2" s="29"/>
      <c r="N2" s="26"/>
      <c r="O2" s="848"/>
      <c r="Q2" s="723"/>
      <c r="S2" s="4"/>
      <c r="T2" s="941" t="s">
        <v>10</v>
      </c>
      <c r="U2" s="942"/>
      <c r="V2" s="810"/>
      <c r="W2" s="30"/>
    </row>
    <row r="3" spans="1:26" ht="14.4" x14ac:dyDescent="0.3">
      <c r="A3" s="20"/>
      <c r="B3" s="21"/>
      <c r="C3" s="22"/>
      <c r="D3" s="31"/>
      <c r="E3" s="927" t="s">
        <v>11</v>
      </c>
      <c r="F3" s="928"/>
      <c r="G3" s="929"/>
      <c r="H3" s="32"/>
      <c r="I3" s="97"/>
      <c r="J3" s="26"/>
      <c r="K3" s="809"/>
      <c r="L3" s="33"/>
      <c r="M3" s="34"/>
      <c r="N3" s="26"/>
      <c r="O3" s="849"/>
      <c r="P3" s="26"/>
      <c r="Q3" s="724"/>
      <c r="R3" s="36"/>
      <c r="S3" s="37"/>
      <c r="T3" s="930" t="s">
        <v>12</v>
      </c>
      <c r="U3" s="931"/>
      <c r="V3" s="810"/>
      <c r="W3" s="38"/>
    </row>
    <row r="4" spans="1:26" s="52" customFormat="1" ht="39.6" x14ac:dyDescent="0.3">
      <c r="A4" s="39" t="s">
        <v>13</v>
      </c>
      <c r="B4" s="40" t="s">
        <v>14</v>
      </c>
      <c r="C4" s="41" t="s">
        <v>15</v>
      </c>
      <c r="D4" s="42" t="s">
        <v>16</v>
      </c>
      <c r="E4" s="43" t="s">
        <v>17</v>
      </c>
      <c r="F4" s="40" t="s">
        <v>18</v>
      </c>
      <c r="G4" s="44" t="s">
        <v>19</v>
      </c>
      <c r="H4" s="45" t="s">
        <v>20</v>
      </c>
      <c r="I4" s="98" t="s">
        <v>21</v>
      </c>
      <c r="J4" s="44" t="s">
        <v>22</v>
      </c>
      <c r="K4" s="40" t="s">
        <v>23</v>
      </c>
      <c r="L4" s="46" t="s">
        <v>24</v>
      </c>
      <c r="M4" s="46" t="s">
        <v>25</v>
      </c>
      <c r="N4" s="44" t="s">
        <v>26</v>
      </c>
      <c r="O4" s="850" t="s">
        <v>27</v>
      </c>
      <c r="P4" s="44" t="s">
        <v>28</v>
      </c>
      <c r="Q4" s="725" t="s">
        <v>29</v>
      </c>
      <c r="R4" s="48" t="s">
        <v>7</v>
      </c>
      <c r="S4" s="49" t="s">
        <v>8</v>
      </c>
      <c r="T4" s="50" t="s">
        <v>30</v>
      </c>
      <c r="U4" s="50" t="s">
        <v>31</v>
      </c>
      <c r="V4" s="51" t="s">
        <v>2</v>
      </c>
      <c r="W4" s="41" t="s">
        <v>32</v>
      </c>
    </row>
    <row r="5" spans="1:26" ht="15" thickBot="1" x14ac:dyDescent="0.35">
      <c r="A5" s="53" t="s">
        <v>33</v>
      </c>
      <c r="B5" s="54"/>
      <c r="C5" s="55"/>
      <c r="D5" s="56"/>
      <c r="E5" s="57" t="s">
        <v>34</v>
      </c>
      <c r="F5" s="57" t="s">
        <v>34</v>
      </c>
      <c r="G5" s="133" t="s">
        <v>34</v>
      </c>
      <c r="H5" s="134" t="s">
        <v>34</v>
      </c>
      <c r="I5" s="65" t="s">
        <v>34</v>
      </c>
      <c r="J5" s="57" t="s">
        <v>34</v>
      </c>
      <c r="K5" s="58" t="s">
        <v>35</v>
      </c>
      <c r="L5" s="59" t="s">
        <v>34</v>
      </c>
      <c r="M5" s="60" t="s">
        <v>34</v>
      </c>
      <c r="N5" s="60" t="s">
        <v>35</v>
      </c>
      <c r="O5" s="851" t="s">
        <v>36</v>
      </c>
      <c r="P5" s="62" t="s">
        <v>36</v>
      </c>
      <c r="Q5" s="726" t="s">
        <v>36</v>
      </c>
      <c r="R5" s="63" t="s">
        <v>36</v>
      </c>
      <c r="S5" s="64" t="s">
        <v>36</v>
      </c>
      <c r="T5" s="65" t="s">
        <v>34</v>
      </c>
      <c r="U5" s="65" t="s">
        <v>34</v>
      </c>
      <c r="V5" s="66" t="s">
        <v>34</v>
      </c>
      <c r="W5" s="67"/>
    </row>
    <row r="6" spans="1:26" ht="14.4" x14ac:dyDescent="0.3">
      <c r="A6" s="128">
        <v>43963</v>
      </c>
      <c r="B6" s="129" t="s">
        <v>62</v>
      </c>
      <c r="C6" s="155" t="s">
        <v>69</v>
      </c>
      <c r="D6" s="157" t="s">
        <v>68</v>
      </c>
      <c r="E6" s="129">
        <v>12.2</v>
      </c>
      <c r="F6" s="129">
        <v>0.14000000000000001</v>
      </c>
      <c r="G6" s="152">
        <v>12.059999999999999</v>
      </c>
      <c r="H6" s="153"/>
      <c r="I6" s="130">
        <v>4.3499999999999996</v>
      </c>
      <c r="J6" s="129">
        <v>4.3499999999999996</v>
      </c>
      <c r="K6" s="158">
        <v>0.43</v>
      </c>
      <c r="L6" s="129">
        <v>7.7099999999999991</v>
      </c>
      <c r="M6" s="129"/>
      <c r="N6" s="152"/>
      <c r="O6" s="130"/>
      <c r="P6" s="130">
        <v>1.8704999999999998</v>
      </c>
      <c r="Q6" s="158"/>
      <c r="R6" s="730" t="s">
        <v>54</v>
      </c>
      <c r="S6" s="152"/>
      <c r="T6" s="735"/>
      <c r="U6" s="155"/>
      <c r="V6" s="152"/>
      <c r="W6" s="129"/>
      <c r="X6" s="129"/>
      <c r="Y6" s="129"/>
      <c r="Z6" s="129"/>
    </row>
    <row r="7" spans="1:26" ht="14.4" x14ac:dyDescent="0.3">
      <c r="A7" s="128">
        <v>44084</v>
      </c>
      <c r="B7" s="129" t="s">
        <v>63</v>
      </c>
      <c r="C7" s="155" t="s">
        <v>69</v>
      </c>
      <c r="D7" s="157" t="s">
        <v>53</v>
      </c>
      <c r="E7" s="129">
        <v>9.15</v>
      </c>
      <c r="F7" s="129">
        <v>2.67</v>
      </c>
      <c r="G7" s="152">
        <v>6.48</v>
      </c>
      <c r="H7" s="153"/>
      <c r="I7" s="130"/>
      <c r="J7" s="129"/>
      <c r="K7" s="155"/>
      <c r="L7" s="129"/>
      <c r="M7" s="129"/>
      <c r="N7" s="152"/>
      <c r="O7" s="130">
        <v>-2.9774999999999987</v>
      </c>
      <c r="P7" s="130"/>
      <c r="Q7" s="158">
        <v>-1.1069999999999989</v>
      </c>
      <c r="R7" s="730"/>
      <c r="S7" s="152"/>
      <c r="T7" s="735"/>
      <c r="U7" s="155"/>
      <c r="V7" s="152"/>
      <c r="W7" s="129"/>
      <c r="X7" s="129"/>
      <c r="Y7" s="129"/>
      <c r="Z7" s="129"/>
    </row>
    <row r="8" spans="1:26" ht="14.4" x14ac:dyDescent="0.3">
      <c r="A8" s="128">
        <v>44084</v>
      </c>
      <c r="B8" s="129" t="s">
        <v>63</v>
      </c>
      <c r="C8" s="155" t="s">
        <v>69</v>
      </c>
      <c r="D8" s="157" t="s">
        <v>53</v>
      </c>
      <c r="E8" s="129">
        <v>10</v>
      </c>
      <c r="F8" s="129">
        <v>3.5199999999999996</v>
      </c>
      <c r="G8" s="152">
        <v>6.48</v>
      </c>
      <c r="H8" s="153"/>
      <c r="I8" s="130"/>
      <c r="J8" s="129"/>
      <c r="K8" s="155"/>
      <c r="L8" s="129"/>
      <c r="M8" s="129"/>
      <c r="N8" s="152"/>
      <c r="O8" s="130"/>
      <c r="P8" s="130"/>
      <c r="Q8" s="158"/>
      <c r="R8" s="730"/>
      <c r="S8" s="152"/>
      <c r="T8" s="735"/>
      <c r="U8" s="155"/>
      <c r="V8" s="152"/>
      <c r="W8" s="129" t="s">
        <v>71</v>
      </c>
      <c r="X8" s="129"/>
      <c r="Y8" s="129"/>
      <c r="Z8" s="129"/>
    </row>
    <row r="9" spans="1:26" ht="14.4" x14ac:dyDescent="0.3">
      <c r="A9" s="128">
        <v>44185</v>
      </c>
      <c r="B9" s="129" t="s">
        <v>62</v>
      </c>
      <c r="C9" s="155" t="s">
        <v>69</v>
      </c>
      <c r="D9" s="157" t="s">
        <v>52</v>
      </c>
      <c r="E9" s="129">
        <v>10</v>
      </c>
      <c r="F9" s="129">
        <v>0.93</v>
      </c>
      <c r="G9" s="152">
        <v>9.07</v>
      </c>
      <c r="H9" s="153"/>
      <c r="I9" s="130"/>
      <c r="J9" s="129">
        <v>2.59</v>
      </c>
      <c r="K9" s="155"/>
      <c r="L9" s="129"/>
      <c r="M9" s="129"/>
      <c r="N9" s="152"/>
      <c r="O9" s="130"/>
      <c r="P9" s="130"/>
      <c r="Q9" s="158"/>
      <c r="R9" s="730"/>
      <c r="S9" s="152"/>
      <c r="T9" s="735"/>
      <c r="U9" s="155"/>
      <c r="V9" s="152"/>
      <c r="W9" s="129"/>
      <c r="X9" s="129"/>
      <c r="Y9" s="129"/>
      <c r="Z9" s="129"/>
    </row>
    <row r="10" spans="1:26" ht="14.4" x14ac:dyDescent="0.3">
      <c r="A10" s="128">
        <v>44185</v>
      </c>
      <c r="B10" s="129" t="s">
        <v>62</v>
      </c>
      <c r="C10" s="155" t="s">
        <v>69</v>
      </c>
      <c r="D10" s="157" t="s">
        <v>52</v>
      </c>
      <c r="E10" s="129">
        <v>13.05</v>
      </c>
      <c r="F10" s="129">
        <v>3.9800000000000004</v>
      </c>
      <c r="G10" s="152">
        <v>9.07</v>
      </c>
      <c r="H10" s="153"/>
      <c r="I10" s="130"/>
      <c r="J10" s="129"/>
      <c r="K10" s="155"/>
      <c r="L10" s="129"/>
      <c r="M10" s="129"/>
      <c r="N10" s="152"/>
      <c r="O10" s="130"/>
      <c r="P10" s="130"/>
      <c r="Q10" s="158"/>
      <c r="R10" s="730"/>
      <c r="S10" s="152"/>
      <c r="T10" s="735"/>
      <c r="U10" s="155"/>
      <c r="V10" s="152"/>
      <c r="W10" s="129"/>
      <c r="X10" s="129"/>
      <c r="Y10" s="129"/>
      <c r="Z10" s="129"/>
    </row>
    <row r="11" spans="1:26" ht="14.4" x14ac:dyDescent="0.3">
      <c r="A11" s="128">
        <v>44221</v>
      </c>
      <c r="B11" s="129" t="s">
        <v>73</v>
      </c>
      <c r="C11" s="155" t="s">
        <v>69</v>
      </c>
      <c r="D11" s="157" t="s">
        <v>52</v>
      </c>
      <c r="E11" s="129" t="s">
        <v>61</v>
      </c>
      <c r="F11" s="129"/>
      <c r="G11" s="152"/>
      <c r="H11" s="153"/>
      <c r="I11" s="130"/>
      <c r="J11" s="129"/>
      <c r="K11" s="155"/>
      <c r="L11" s="129"/>
      <c r="M11" s="129"/>
      <c r="N11" s="152"/>
      <c r="O11" s="130"/>
      <c r="P11" s="130"/>
      <c r="Q11" s="158"/>
      <c r="R11" s="730"/>
      <c r="S11" s="152"/>
      <c r="T11" s="735"/>
      <c r="U11" s="155"/>
      <c r="V11" s="152"/>
      <c r="W11" s="129"/>
      <c r="X11" s="129"/>
      <c r="Y11" s="129"/>
      <c r="Z11" s="129"/>
    </row>
    <row r="12" spans="1:26" ht="14.4" x14ac:dyDescent="0.3">
      <c r="A12" s="128">
        <v>44446</v>
      </c>
      <c r="B12" s="129" t="s">
        <v>63</v>
      </c>
      <c r="C12" s="155" t="s">
        <v>69</v>
      </c>
      <c r="D12" s="157" t="s">
        <v>72</v>
      </c>
      <c r="E12" s="129">
        <v>13.05</v>
      </c>
      <c r="F12" s="129">
        <v>6.7300000000000013</v>
      </c>
      <c r="G12" s="152">
        <v>6.3199999999999994</v>
      </c>
      <c r="H12" s="153">
        <v>-0.16000000000000103</v>
      </c>
      <c r="I12" s="130">
        <v>0</v>
      </c>
      <c r="J12" s="129">
        <v>0</v>
      </c>
      <c r="K12" s="155">
        <v>0.8</v>
      </c>
      <c r="L12" s="129"/>
      <c r="M12" s="129"/>
      <c r="N12" s="152"/>
      <c r="O12" s="130"/>
      <c r="P12" s="130"/>
      <c r="Q12" s="158">
        <v>-0.12800000000000084</v>
      </c>
      <c r="R12" s="730" t="s">
        <v>54</v>
      </c>
      <c r="S12" s="152">
        <v>0</v>
      </c>
      <c r="T12" s="735"/>
      <c r="U12" s="155"/>
      <c r="V12" s="152"/>
      <c r="W12" s="129"/>
      <c r="X12" s="129"/>
      <c r="Y12" s="129"/>
      <c r="Z12" s="129"/>
    </row>
    <row r="13" spans="1:26" ht="14.4" x14ac:dyDescent="0.3">
      <c r="A13" s="128">
        <v>44446</v>
      </c>
      <c r="B13" s="129" t="s">
        <v>63</v>
      </c>
      <c r="C13" s="155" t="s">
        <v>69</v>
      </c>
      <c r="D13" s="157" t="s">
        <v>72</v>
      </c>
      <c r="E13" s="129">
        <v>10</v>
      </c>
      <c r="F13" s="129">
        <v>3.6800000000000006</v>
      </c>
      <c r="G13" s="152">
        <v>6.3199999999999994</v>
      </c>
      <c r="H13" s="153"/>
      <c r="I13" s="130"/>
      <c r="J13" s="129"/>
      <c r="K13" s="155"/>
      <c r="L13" s="129"/>
      <c r="M13" s="129"/>
      <c r="N13" s="152"/>
      <c r="O13" s="130"/>
      <c r="P13" s="130"/>
      <c r="Q13" s="158"/>
      <c r="R13" s="730"/>
      <c r="S13" s="152"/>
      <c r="T13" s="735"/>
      <c r="U13" s="155"/>
      <c r="V13" s="152"/>
      <c r="W13" s="129"/>
      <c r="X13" s="129"/>
      <c r="Y13" s="129"/>
      <c r="Z13" s="129"/>
    </row>
    <row r="14" spans="1:26" ht="14.4" x14ac:dyDescent="0.3">
      <c r="A14" s="128">
        <v>44678</v>
      </c>
      <c r="B14" s="129" t="s">
        <v>81</v>
      </c>
      <c r="C14" s="155" t="s">
        <v>69</v>
      </c>
      <c r="D14" s="157" t="s">
        <v>68</v>
      </c>
      <c r="E14" s="129" t="s">
        <v>65</v>
      </c>
      <c r="F14" s="129"/>
      <c r="G14" s="152"/>
      <c r="H14" s="153"/>
      <c r="I14" s="130"/>
      <c r="J14" s="129"/>
      <c r="K14" s="155"/>
      <c r="L14" s="129"/>
      <c r="M14" s="129"/>
      <c r="N14" s="152"/>
      <c r="O14" s="130"/>
      <c r="P14" s="130"/>
      <c r="Q14" s="158"/>
      <c r="R14" s="730"/>
      <c r="S14" s="152"/>
      <c r="T14" s="735"/>
      <c r="U14" s="155"/>
      <c r="V14" s="152"/>
      <c r="W14" s="129"/>
      <c r="X14" s="129"/>
      <c r="Y14" s="129"/>
      <c r="Z14" s="129"/>
    </row>
    <row r="15" spans="1:26" ht="14.4" x14ac:dyDescent="0.3">
      <c r="A15" s="128">
        <v>44821</v>
      </c>
      <c r="B15" s="129" t="s">
        <v>81</v>
      </c>
      <c r="C15" s="155" t="s">
        <v>69</v>
      </c>
      <c r="D15" s="157" t="s">
        <v>53</v>
      </c>
      <c r="E15" s="130">
        <v>6.1</v>
      </c>
      <c r="F15" s="130">
        <v>0.06</v>
      </c>
      <c r="G15" s="294">
        <v>6.04</v>
      </c>
      <c r="H15" s="153"/>
      <c r="I15" s="130"/>
      <c r="J15" s="129"/>
      <c r="K15" s="155"/>
      <c r="L15" s="129"/>
      <c r="M15" s="129"/>
      <c r="N15" s="152"/>
      <c r="O15" s="130"/>
      <c r="P15" s="130"/>
      <c r="Q15" s="158"/>
      <c r="R15" s="730"/>
      <c r="S15" s="152">
        <v>0</v>
      </c>
      <c r="T15" s="735"/>
      <c r="U15" s="155"/>
      <c r="V15" s="152"/>
      <c r="W15" s="129"/>
      <c r="X15" s="129"/>
      <c r="Y15" s="129"/>
      <c r="Z15" s="129"/>
    </row>
    <row r="16" spans="1:26" ht="14.4" x14ac:dyDescent="0.3">
      <c r="A16" s="128">
        <v>44821</v>
      </c>
      <c r="B16" s="129" t="s">
        <v>81</v>
      </c>
      <c r="C16" s="155" t="s">
        <v>69</v>
      </c>
      <c r="D16" s="157" t="s">
        <v>53</v>
      </c>
      <c r="E16" s="130">
        <v>10</v>
      </c>
      <c r="F16" s="130">
        <v>3.96</v>
      </c>
      <c r="G16" s="294">
        <v>6.04</v>
      </c>
      <c r="H16" s="295">
        <v>-0.27999999999999936</v>
      </c>
      <c r="I16" s="130"/>
      <c r="J16" s="129"/>
      <c r="K16" s="155"/>
      <c r="L16" s="129"/>
      <c r="M16" s="129"/>
      <c r="N16" s="152"/>
      <c r="O16" s="130"/>
      <c r="P16" s="130"/>
      <c r="Q16" s="158"/>
      <c r="R16" s="730"/>
      <c r="S16" s="152"/>
      <c r="T16" s="735"/>
      <c r="U16" s="155"/>
      <c r="V16" s="152"/>
      <c r="W16" s="129"/>
      <c r="X16" s="129"/>
      <c r="Y16" s="129"/>
      <c r="Z16" s="129"/>
    </row>
    <row r="17" spans="1:26" ht="14.4" x14ac:dyDescent="0.3">
      <c r="A17" s="128">
        <v>44911</v>
      </c>
      <c r="B17" s="129" t="s">
        <v>90</v>
      </c>
      <c r="C17" s="155" t="s">
        <v>69</v>
      </c>
      <c r="D17" s="157" t="s">
        <v>89</v>
      </c>
      <c r="E17" s="130">
        <v>10</v>
      </c>
      <c r="F17" s="130">
        <v>1.49</v>
      </c>
      <c r="G17" s="294">
        <v>8.51</v>
      </c>
      <c r="H17" s="295">
        <v>2.4699999999999998</v>
      </c>
      <c r="I17" s="130"/>
      <c r="J17" s="129"/>
      <c r="K17" s="155"/>
      <c r="L17" s="129"/>
      <c r="M17" s="129"/>
      <c r="N17" s="152"/>
      <c r="O17" s="130"/>
      <c r="P17" s="130"/>
      <c r="Q17" s="158"/>
      <c r="R17" s="730"/>
      <c r="S17" s="152"/>
      <c r="T17" s="735"/>
      <c r="U17" s="155"/>
      <c r="V17" s="152"/>
      <c r="W17" s="129"/>
      <c r="X17" s="129"/>
      <c r="Y17" s="129"/>
      <c r="Z17" s="129"/>
    </row>
    <row r="18" spans="1:26" ht="14.4" x14ac:dyDescent="0.3">
      <c r="A18" s="128">
        <v>45176</v>
      </c>
      <c r="B18" s="129" t="s">
        <v>93</v>
      </c>
      <c r="C18" s="155" t="s">
        <v>69</v>
      </c>
      <c r="D18" s="157" t="s">
        <v>53</v>
      </c>
      <c r="E18" s="130">
        <v>6.1</v>
      </c>
      <c r="F18" s="130">
        <v>0.24</v>
      </c>
      <c r="G18" s="294">
        <v>5.8599999999999994</v>
      </c>
      <c r="H18" s="295">
        <v>-0.1800000000000006</v>
      </c>
      <c r="I18" s="130"/>
      <c r="J18" s="129"/>
      <c r="K18" s="155"/>
      <c r="L18" s="129"/>
      <c r="M18" s="129"/>
      <c r="N18" s="152"/>
      <c r="O18" s="130"/>
      <c r="P18" s="130"/>
      <c r="Q18" s="158"/>
      <c r="R18" s="730"/>
      <c r="S18" s="152"/>
      <c r="T18" s="735"/>
      <c r="U18" s="155"/>
      <c r="V18" s="152"/>
      <c r="W18" s="129"/>
      <c r="X18" s="129"/>
      <c r="Y18" s="129"/>
      <c r="Z18" s="129"/>
    </row>
    <row r="19" spans="1:26" ht="14.4" x14ac:dyDescent="0.3">
      <c r="A19" s="128">
        <v>45176</v>
      </c>
      <c r="B19" s="129" t="s">
        <v>93</v>
      </c>
      <c r="C19" s="155" t="s">
        <v>69</v>
      </c>
      <c r="D19" s="157" t="s">
        <v>53</v>
      </c>
      <c r="E19" s="130">
        <v>10</v>
      </c>
      <c r="F19" s="130">
        <v>4.1399999999999997</v>
      </c>
      <c r="G19" s="294">
        <v>5.86</v>
      </c>
      <c r="H19" s="295"/>
      <c r="I19" s="130"/>
      <c r="J19" s="129"/>
      <c r="K19" s="155"/>
      <c r="L19" s="129"/>
      <c r="M19" s="129"/>
      <c r="N19" s="152"/>
      <c r="O19" s="130"/>
      <c r="P19" s="130"/>
      <c r="Q19" s="158"/>
      <c r="R19" s="730"/>
      <c r="S19" s="152"/>
      <c r="T19" s="735"/>
      <c r="U19" s="155"/>
      <c r="V19" s="152"/>
      <c r="W19" s="129"/>
      <c r="X19" s="129"/>
      <c r="Y19" s="129"/>
      <c r="Z19" s="129"/>
    </row>
    <row r="20" spans="1:26" ht="14.4" x14ac:dyDescent="0.3">
      <c r="A20" s="128">
        <v>45552</v>
      </c>
      <c r="B20" s="129" t="s">
        <v>186</v>
      </c>
      <c r="C20" s="155" t="s">
        <v>69</v>
      </c>
      <c r="D20" s="157" t="s">
        <v>59</v>
      </c>
      <c r="E20" s="130">
        <v>6.1</v>
      </c>
      <c r="F20" s="130">
        <v>-0.03</v>
      </c>
      <c r="G20" s="294">
        <v>6.13</v>
      </c>
      <c r="H20" s="295"/>
      <c r="I20" s="130">
        <v>0.16500000000000001</v>
      </c>
      <c r="J20" s="129"/>
      <c r="K20" s="158">
        <v>0.5302705789962161</v>
      </c>
      <c r="L20" s="130">
        <v>5.9649999999999999</v>
      </c>
      <c r="M20" s="129"/>
      <c r="N20" s="152"/>
      <c r="O20" s="130"/>
      <c r="P20" s="130"/>
      <c r="Q20" s="158">
        <v>8.7494645534375665E-2</v>
      </c>
      <c r="R20" s="730"/>
      <c r="S20" s="152"/>
      <c r="T20" s="735">
        <v>396631.81699999998</v>
      </c>
      <c r="U20" s="155">
        <v>6698093.4649999999</v>
      </c>
      <c r="V20" s="152">
        <v>1230.2139999999999</v>
      </c>
      <c r="W20" s="129"/>
      <c r="X20" s="129"/>
      <c r="Y20" s="129"/>
      <c r="Z20" s="129"/>
    </row>
    <row r="21" spans="1:26" ht="14.4" x14ac:dyDescent="0.3">
      <c r="A21" s="128">
        <v>45784</v>
      </c>
      <c r="B21" s="129" t="s">
        <v>200</v>
      </c>
      <c r="C21" s="155" t="s">
        <v>69</v>
      </c>
      <c r="D21" s="157" t="s">
        <v>52</v>
      </c>
      <c r="E21" s="130" t="s">
        <v>61</v>
      </c>
      <c r="F21" s="130"/>
      <c r="G21" s="294"/>
      <c r="H21" s="295"/>
      <c r="I21" s="130"/>
      <c r="J21" s="129"/>
      <c r="K21" s="158"/>
      <c r="L21" s="130"/>
      <c r="M21" s="129"/>
      <c r="N21" s="152"/>
      <c r="O21" s="130"/>
      <c r="P21" s="130"/>
      <c r="Q21" s="158"/>
      <c r="R21" s="730"/>
      <c r="S21" s="152"/>
      <c r="T21" s="735"/>
      <c r="U21" s="155"/>
      <c r="V21" s="152"/>
      <c r="W21" s="129"/>
      <c r="X21" s="129"/>
      <c r="Y21" s="129"/>
      <c r="Z21" s="129"/>
    </row>
    <row r="22" spans="1:26" s="69" customFormat="1" ht="14.4" x14ac:dyDescent="0.3">
      <c r="A22" s="219"/>
      <c r="B22" s="109"/>
      <c r="C22" s="225"/>
      <c r="D22" s="227"/>
      <c r="E22" s="109"/>
      <c r="F22" s="109"/>
      <c r="G22" s="231"/>
      <c r="H22" s="233"/>
      <c r="I22" s="220"/>
      <c r="J22" s="109"/>
      <c r="K22" s="225"/>
      <c r="L22" s="109"/>
      <c r="M22" s="109"/>
      <c r="N22" s="231"/>
      <c r="O22" s="220"/>
      <c r="P22" s="220"/>
      <c r="Q22" s="229"/>
      <c r="R22" s="731"/>
      <c r="S22" s="231"/>
      <c r="T22" s="736"/>
      <c r="U22" s="225"/>
      <c r="V22" s="231"/>
      <c r="W22" s="109"/>
      <c r="X22" s="109"/>
      <c r="Y22" s="109"/>
      <c r="Z22" s="109"/>
    </row>
    <row r="23" spans="1:26" s="224" customFormat="1" ht="14.4" x14ac:dyDescent="0.3">
      <c r="A23" s="221">
        <v>44307</v>
      </c>
      <c r="B23" s="222" t="s">
        <v>75</v>
      </c>
      <c r="C23" s="226" t="s">
        <v>78</v>
      </c>
      <c r="D23" s="228" t="s">
        <v>52</v>
      </c>
      <c r="E23" s="222">
        <v>9.15</v>
      </c>
      <c r="F23" s="222">
        <v>0.22</v>
      </c>
      <c r="G23" s="232">
        <v>8.93</v>
      </c>
      <c r="H23" s="234"/>
      <c r="I23" s="223"/>
      <c r="J23" s="222">
        <v>5.17</v>
      </c>
      <c r="K23" s="226">
        <v>0.48</v>
      </c>
      <c r="L23" s="222"/>
      <c r="M23" s="222"/>
      <c r="N23" s="232"/>
      <c r="O23" s="223"/>
      <c r="P23" s="223">
        <v>2.4815999999999998</v>
      </c>
      <c r="Q23" s="230"/>
      <c r="R23" s="732"/>
      <c r="S23" s="232"/>
      <c r="T23" s="737">
        <v>396645.049</v>
      </c>
      <c r="U23" s="226">
        <v>6698101.1629999997</v>
      </c>
      <c r="V23" s="232">
        <v>1225.96</v>
      </c>
      <c r="W23" s="222"/>
      <c r="X23" s="222"/>
      <c r="Y23" s="222"/>
      <c r="Z23" s="222"/>
    </row>
    <row r="24" spans="1:26" s="224" customFormat="1" ht="14.4" x14ac:dyDescent="0.3">
      <c r="A24" s="221">
        <v>44309</v>
      </c>
      <c r="B24" s="222" t="s">
        <v>75</v>
      </c>
      <c r="C24" s="226" t="s">
        <v>78</v>
      </c>
      <c r="D24" s="228" t="s">
        <v>52</v>
      </c>
      <c r="E24" s="222">
        <v>9.15</v>
      </c>
      <c r="F24" s="222">
        <v>0.27</v>
      </c>
      <c r="G24" s="232">
        <v>8.8800000000000008</v>
      </c>
      <c r="H24" s="234">
        <v>-4.9999999999998934E-2</v>
      </c>
      <c r="I24" s="223"/>
      <c r="J24" s="222">
        <v>5.120000000000001</v>
      </c>
      <c r="K24" s="230">
        <v>0.48468749999999988</v>
      </c>
      <c r="L24" s="222">
        <v>3.76</v>
      </c>
      <c r="M24" s="222"/>
      <c r="N24" s="232"/>
      <c r="O24" s="223"/>
      <c r="P24" s="223"/>
      <c r="Q24" s="230"/>
      <c r="R24" s="732"/>
      <c r="S24" s="232"/>
      <c r="T24" s="737"/>
      <c r="U24" s="226"/>
      <c r="V24" s="232"/>
      <c r="W24" s="222"/>
      <c r="X24" s="222"/>
      <c r="Y24" s="222"/>
      <c r="Z24" s="222"/>
    </row>
    <row r="25" spans="1:26" s="224" customFormat="1" ht="14.4" x14ac:dyDescent="0.3">
      <c r="A25" s="221">
        <v>44446</v>
      </c>
      <c r="B25" s="222" t="s">
        <v>75</v>
      </c>
      <c r="C25" s="226" t="s">
        <v>78</v>
      </c>
      <c r="D25" s="228" t="s">
        <v>52</v>
      </c>
      <c r="E25" s="222">
        <v>9.15</v>
      </c>
      <c r="F25" s="222">
        <v>5.4500000000000011</v>
      </c>
      <c r="G25" s="232">
        <v>3.6999999999999997</v>
      </c>
      <c r="H25" s="234">
        <v>-5.1800000000000015</v>
      </c>
      <c r="I25" s="223">
        <v>0</v>
      </c>
      <c r="J25" s="222">
        <v>0</v>
      </c>
      <c r="K25" s="226">
        <v>0.8</v>
      </c>
      <c r="L25" s="222"/>
      <c r="M25" s="222"/>
      <c r="N25" s="232"/>
      <c r="O25" s="223"/>
      <c r="P25" s="223"/>
      <c r="Q25" s="230">
        <v>-4.8000000000000043E-2</v>
      </c>
      <c r="R25" s="732" t="s">
        <v>54</v>
      </c>
      <c r="S25" s="232">
        <v>0</v>
      </c>
      <c r="T25" s="737"/>
      <c r="U25" s="226"/>
      <c r="V25" s="232"/>
      <c r="W25" s="222"/>
      <c r="X25" s="222"/>
      <c r="Y25" s="222"/>
      <c r="Z25" s="222"/>
    </row>
    <row r="26" spans="1:26" s="224" customFormat="1" ht="14.4" x14ac:dyDescent="0.3">
      <c r="A26" s="221">
        <v>44678</v>
      </c>
      <c r="B26" s="222" t="s">
        <v>81</v>
      </c>
      <c r="C26" s="226" t="s">
        <v>78</v>
      </c>
      <c r="D26" s="228" t="s">
        <v>52</v>
      </c>
      <c r="E26" s="222" t="s">
        <v>65</v>
      </c>
      <c r="F26" s="222"/>
      <c r="G26" s="232"/>
      <c r="H26" s="234"/>
      <c r="I26" s="223"/>
      <c r="J26" s="222"/>
      <c r="K26" s="226"/>
      <c r="L26" s="222"/>
      <c r="M26" s="222"/>
      <c r="N26" s="232"/>
      <c r="O26" s="223"/>
      <c r="P26" s="223"/>
      <c r="Q26" s="230"/>
      <c r="R26" s="732" t="s">
        <v>54</v>
      </c>
      <c r="S26" s="232"/>
      <c r="T26" s="737"/>
      <c r="U26" s="226"/>
      <c r="V26" s="232"/>
      <c r="W26" s="222"/>
      <c r="X26" s="222"/>
      <c r="Y26" s="222"/>
      <c r="Z26" s="222"/>
    </row>
    <row r="27" spans="1:26" s="224" customFormat="1" ht="14.4" x14ac:dyDescent="0.3">
      <c r="A27" s="221">
        <v>44821</v>
      </c>
      <c r="B27" s="222" t="s">
        <v>81</v>
      </c>
      <c r="C27" s="226" t="s">
        <v>78</v>
      </c>
      <c r="D27" s="226" t="s">
        <v>53</v>
      </c>
      <c r="E27" s="223">
        <v>8</v>
      </c>
      <c r="F27" s="223">
        <v>1.37</v>
      </c>
      <c r="G27" s="296">
        <v>6.63</v>
      </c>
      <c r="H27" s="316">
        <v>2.93</v>
      </c>
      <c r="I27" s="223"/>
      <c r="J27" s="222"/>
      <c r="K27" s="226"/>
      <c r="L27" s="222"/>
      <c r="M27" s="222"/>
      <c r="N27" s="232"/>
      <c r="O27" s="223"/>
      <c r="P27" s="223"/>
      <c r="Q27" s="230"/>
      <c r="R27" s="732"/>
      <c r="S27" s="232">
        <v>0</v>
      </c>
      <c r="T27" s="737"/>
      <c r="U27" s="226"/>
      <c r="V27" s="232"/>
      <c r="W27" s="222"/>
      <c r="X27" s="222"/>
      <c r="Y27" s="222"/>
      <c r="Z27" s="222"/>
    </row>
    <row r="28" spans="1:26" s="224" customFormat="1" ht="14.4" x14ac:dyDescent="0.3">
      <c r="A28" s="221">
        <v>44821</v>
      </c>
      <c r="B28" s="222" t="s">
        <v>81</v>
      </c>
      <c r="C28" s="226" t="s">
        <v>78</v>
      </c>
      <c r="D28" s="226" t="s">
        <v>53</v>
      </c>
      <c r="E28" s="223">
        <v>11.05</v>
      </c>
      <c r="F28" s="223">
        <v>4.4200000000000008</v>
      </c>
      <c r="G28" s="296">
        <v>6.63</v>
      </c>
      <c r="H28" s="234"/>
      <c r="I28" s="223"/>
      <c r="J28" s="222"/>
      <c r="K28" s="226"/>
      <c r="L28" s="222"/>
      <c r="M28" s="222"/>
      <c r="N28" s="232"/>
      <c r="O28" s="223"/>
      <c r="P28" s="223"/>
      <c r="Q28" s="230"/>
      <c r="R28" s="732"/>
      <c r="S28" s="232"/>
      <c r="T28" s="737"/>
      <c r="U28" s="226"/>
      <c r="V28" s="232"/>
      <c r="W28" s="222"/>
      <c r="X28" s="222"/>
      <c r="Y28" s="222"/>
      <c r="Z28" s="222"/>
    </row>
    <row r="29" spans="1:26" s="224" customFormat="1" ht="14.4" x14ac:dyDescent="0.3">
      <c r="A29" s="221">
        <v>44911</v>
      </c>
      <c r="B29" s="222" t="s">
        <v>88</v>
      </c>
      <c r="C29" s="226" t="s">
        <v>78</v>
      </c>
      <c r="D29" s="226" t="s">
        <v>89</v>
      </c>
      <c r="E29" s="223">
        <v>11.05</v>
      </c>
      <c r="F29" s="223">
        <v>1.85</v>
      </c>
      <c r="G29" s="296">
        <v>9.2000000000000011</v>
      </c>
      <c r="H29" s="316">
        <v>2.5700000000000012</v>
      </c>
      <c r="I29" s="223"/>
      <c r="J29" s="222"/>
      <c r="K29" s="226"/>
      <c r="L29" s="222"/>
      <c r="M29" s="222"/>
      <c r="N29" s="232"/>
      <c r="O29" s="223"/>
      <c r="P29" s="223"/>
      <c r="Q29" s="230"/>
      <c r="R29" s="732"/>
      <c r="S29" s="232"/>
      <c r="T29" s="737"/>
      <c r="U29" s="226"/>
      <c r="V29" s="232"/>
      <c r="W29" s="222"/>
      <c r="X29" s="222"/>
      <c r="Y29" s="222"/>
      <c r="Z29" s="222"/>
    </row>
    <row r="30" spans="1:26" s="224" customFormat="1" ht="14.4" x14ac:dyDescent="0.3">
      <c r="A30" s="221">
        <v>44911</v>
      </c>
      <c r="B30" s="222" t="s">
        <v>88</v>
      </c>
      <c r="C30" s="226" t="s">
        <v>78</v>
      </c>
      <c r="D30" s="226" t="s">
        <v>89</v>
      </c>
      <c r="E30" s="223">
        <v>13.75</v>
      </c>
      <c r="F30" s="223">
        <v>4.5499999999999989</v>
      </c>
      <c r="G30" s="296">
        <v>9.2000000000000011</v>
      </c>
      <c r="H30" s="234"/>
      <c r="I30" s="223"/>
      <c r="J30" s="222"/>
      <c r="K30" s="226"/>
      <c r="L30" s="222"/>
      <c r="M30" s="222"/>
      <c r="N30" s="232"/>
      <c r="O30" s="223"/>
      <c r="P30" s="223"/>
      <c r="Q30" s="230"/>
      <c r="R30" s="732"/>
      <c r="S30" s="232"/>
      <c r="T30" s="737"/>
      <c r="U30" s="226"/>
      <c r="V30" s="232"/>
      <c r="W30" s="222"/>
      <c r="X30" s="222"/>
      <c r="Y30" s="222"/>
      <c r="Z30" s="222"/>
    </row>
    <row r="31" spans="1:26" s="224" customFormat="1" ht="14.4" x14ac:dyDescent="0.3">
      <c r="A31" s="221">
        <v>45176</v>
      </c>
      <c r="B31" s="222" t="s">
        <v>93</v>
      </c>
      <c r="C31" s="226" t="s">
        <v>78</v>
      </c>
      <c r="D31" s="226" t="s">
        <v>53</v>
      </c>
      <c r="E31" s="223">
        <v>8</v>
      </c>
      <c r="F31" s="223">
        <v>1.59</v>
      </c>
      <c r="G31" s="296">
        <v>6.41</v>
      </c>
      <c r="H31" s="316">
        <v>-0.21999999999999975</v>
      </c>
      <c r="I31" s="223"/>
      <c r="J31" s="222"/>
      <c r="K31" s="226"/>
      <c r="L31" s="222"/>
      <c r="M31" s="222"/>
      <c r="N31" s="232"/>
      <c r="O31" s="223"/>
      <c r="P31" s="223"/>
      <c r="Q31" s="230"/>
      <c r="R31" s="732">
        <v>-0.19799999999999979</v>
      </c>
      <c r="S31" s="232">
        <v>0</v>
      </c>
      <c r="T31" s="737"/>
      <c r="U31" s="226"/>
      <c r="V31" s="232"/>
      <c r="W31" s="222"/>
      <c r="X31" s="222"/>
      <c r="Y31" s="222"/>
      <c r="Z31" s="222"/>
    </row>
    <row r="32" spans="1:26" s="224" customFormat="1" ht="14.4" x14ac:dyDescent="0.3">
      <c r="A32" s="221">
        <v>45176</v>
      </c>
      <c r="B32" s="222" t="s">
        <v>93</v>
      </c>
      <c r="C32" s="226" t="s">
        <v>78</v>
      </c>
      <c r="D32" s="226" t="s">
        <v>53</v>
      </c>
      <c r="E32" s="223">
        <v>8</v>
      </c>
      <c r="F32" s="223">
        <v>1.59</v>
      </c>
      <c r="G32" s="296">
        <v>6.41</v>
      </c>
      <c r="H32" s="234"/>
      <c r="I32" s="223"/>
      <c r="J32" s="222"/>
      <c r="K32" s="226"/>
      <c r="L32" s="222"/>
      <c r="M32" s="222"/>
      <c r="N32" s="232"/>
      <c r="O32" s="223"/>
      <c r="P32" s="223"/>
      <c r="Q32" s="230"/>
      <c r="R32" s="732"/>
      <c r="S32" s="232"/>
      <c r="T32" s="737"/>
      <c r="U32" s="226"/>
      <c r="V32" s="232"/>
      <c r="W32" s="222"/>
      <c r="X32" s="222"/>
      <c r="Y32" s="222"/>
      <c r="Z32" s="222"/>
    </row>
    <row r="33" spans="1:26" s="224" customFormat="1" ht="14.4" x14ac:dyDescent="0.3">
      <c r="A33" s="221">
        <v>45784</v>
      </c>
      <c r="B33" s="222" t="s">
        <v>200</v>
      </c>
      <c r="C33" s="226" t="s">
        <v>78</v>
      </c>
      <c r="D33" s="226" t="s">
        <v>52</v>
      </c>
      <c r="E33" s="223" t="s">
        <v>65</v>
      </c>
      <c r="F33" s="223"/>
      <c r="G33" s="296"/>
      <c r="H33" s="234"/>
      <c r="I33" s="223"/>
      <c r="J33" s="222"/>
      <c r="K33" s="226"/>
      <c r="L33" s="222"/>
      <c r="M33" s="222"/>
      <c r="N33" s="232"/>
      <c r="O33" s="223"/>
      <c r="P33" s="223"/>
      <c r="Q33" s="230"/>
      <c r="R33" s="732"/>
      <c r="S33" s="232"/>
      <c r="T33" s="737"/>
      <c r="U33" s="226"/>
      <c r="V33" s="232"/>
      <c r="W33" s="222"/>
      <c r="X33" s="222"/>
      <c r="Y33" s="222"/>
      <c r="Z33" s="222"/>
    </row>
    <row r="34" spans="1:26" ht="14.4" x14ac:dyDescent="0.3">
      <c r="A34" s="70"/>
      <c r="B34" s="70"/>
      <c r="C34" s="213"/>
      <c r="D34" s="213"/>
      <c r="E34" s="71"/>
      <c r="F34" s="71"/>
      <c r="G34" s="206"/>
      <c r="H34" s="209"/>
      <c r="I34" s="71"/>
      <c r="J34" s="70"/>
      <c r="K34" s="213"/>
      <c r="L34" s="70"/>
      <c r="M34" s="70"/>
      <c r="N34" s="206"/>
      <c r="O34" s="71"/>
      <c r="P34" s="71"/>
      <c r="Q34" s="710"/>
      <c r="R34" s="733"/>
      <c r="S34" s="211"/>
      <c r="T34" s="738"/>
      <c r="U34" s="314"/>
      <c r="V34" s="4"/>
    </row>
    <row r="35" spans="1:26" ht="14.4" x14ac:dyDescent="0.3">
      <c r="A35" s="272">
        <v>44678</v>
      </c>
      <c r="B35" s="270" t="s">
        <v>81</v>
      </c>
      <c r="C35" s="307" t="s">
        <v>84</v>
      </c>
      <c r="D35" s="307" t="s">
        <v>52</v>
      </c>
      <c r="E35" s="271">
        <v>12.2</v>
      </c>
      <c r="F35" s="271">
        <v>0.47</v>
      </c>
      <c r="G35" s="310">
        <v>11.729999999999999</v>
      </c>
      <c r="H35" s="311"/>
      <c r="I35" s="271">
        <v>5.83</v>
      </c>
      <c r="J35" s="271">
        <v>5.83</v>
      </c>
      <c r="K35" s="306">
        <v>0.46</v>
      </c>
      <c r="L35" s="271">
        <v>5.8999999999999986</v>
      </c>
      <c r="M35" s="270"/>
      <c r="N35" s="110"/>
      <c r="O35" s="271"/>
      <c r="P35" s="271">
        <v>2.6818</v>
      </c>
      <c r="Q35" s="306"/>
      <c r="R35" s="734"/>
      <c r="S35" s="729"/>
      <c r="T35" s="739"/>
      <c r="U35" s="315"/>
      <c r="V35" s="313"/>
      <c r="W35" s="205"/>
      <c r="X35" s="205"/>
      <c r="Y35" s="205"/>
      <c r="Z35" s="205"/>
    </row>
    <row r="36" spans="1:26" ht="14.4" x14ac:dyDescent="0.3">
      <c r="A36" s="272">
        <v>44821</v>
      </c>
      <c r="B36" s="270" t="s">
        <v>81</v>
      </c>
      <c r="C36" s="307" t="s">
        <v>84</v>
      </c>
      <c r="D36" s="307" t="s">
        <v>53</v>
      </c>
      <c r="E36" s="271">
        <v>6.1</v>
      </c>
      <c r="F36" s="271">
        <v>1.21</v>
      </c>
      <c r="G36" s="310">
        <v>4.8899999999999997</v>
      </c>
      <c r="H36" s="311"/>
      <c r="I36" s="271"/>
      <c r="J36" s="270"/>
      <c r="K36" s="307"/>
      <c r="L36" s="270"/>
      <c r="M36" s="270"/>
      <c r="N36" s="110"/>
      <c r="O36" s="271">
        <v>-3.5907999999999989</v>
      </c>
      <c r="P36" s="271"/>
      <c r="Q36" s="306">
        <v>-0.90899999999999903</v>
      </c>
      <c r="R36" s="734"/>
      <c r="S36" s="729">
        <v>0</v>
      </c>
      <c r="T36" s="739"/>
      <c r="U36" s="315"/>
      <c r="V36" s="313"/>
      <c r="W36" s="205"/>
      <c r="X36" s="205"/>
      <c r="Y36" s="205"/>
      <c r="Z36" s="205"/>
    </row>
    <row r="37" spans="1:26" ht="14.4" x14ac:dyDescent="0.3">
      <c r="A37" s="272">
        <v>44821</v>
      </c>
      <c r="B37" s="270" t="s">
        <v>81</v>
      </c>
      <c r="C37" s="307" t="s">
        <v>84</v>
      </c>
      <c r="D37" s="307" t="s">
        <v>53</v>
      </c>
      <c r="E37" s="271">
        <v>9.15</v>
      </c>
      <c r="F37" s="271">
        <v>4.2600000000000007</v>
      </c>
      <c r="G37" s="110">
        <v>4.8899999999999997</v>
      </c>
      <c r="H37" s="311"/>
      <c r="I37" s="271"/>
      <c r="J37" s="270"/>
      <c r="K37" s="307"/>
      <c r="L37" s="270"/>
      <c r="M37" s="270"/>
      <c r="N37" s="110"/>
      <c r="O37" s="271"/>
      <c r="P37" s="271"/>
      <c r="Q37" s="306"/>
      <c r="R37" s="734"/>
      <c r="S37" s="729"/>
      <c r="T37" s="739"/>
      <c r="U37" s="315"/>
      <c r="V37" s="313"/>
      <c r="W37" s="205"/>
      <c r="X37" s="205"/>
      <c r="Y37" s="205"/>
      <c r="Z37" s="205"/>
    </row>
    <row r="38" spans="1:26" ht="14.4" x14ac:dyDescent="0.3">
      <c r="A38" s="272">
        <v>44911</v>
      </c>
      <c r="B38" s="270" t="s">
        <v>90</v>
      </c>
      <c r="C38" s="307" t="s">
        <v>84</v>
      </c>
      <c r="D38" s="307" t="s">
        <v>89</v>
      </c>
      <c r="E38" s="271">
        <v>9.15</v>
      </c>
      <c r="F38" s="271">
        <v>1.75</v>
      </c>
      <c r="G38" s="310">
        <v>7.4</v>
      </c>
      <c r="H38" s="317">
        <v>2.5100000000000007</v>
      </c>
      <c r="I38" s="271"/>
      <c r="J38" s="270"/>
      <c r="K38" s="307"/>
      <c r="L38" s="270"/>
      <c r="M38" s="270"/>
      <c r="N38" s="110"/>
      <c r="O38" s="271"/>
      <c r="P38" s="271"/>
      <c r="Q38" s="306"/>
      <c r="R38" s="734"/>
      <c r="S38" s="729"/>
      <c r="T38" s="739"/>
      <c r="U38" s="315"/>
      <c r="V38" s="313"/>
      <c r="W38" s="205"/>
      <c r="X38" s="205"/>
      <c r="Y38" s="205"/>
      <c r="Z38" s="205"/>
    </row>
    <row r="39" spans="1:26" ht="14.4" x14ac:dyDescent="0.3">
      <c r="A39" s="272">
        <v>45176</v>
      </c>
      <c r="B39" s="270" t="s">
        <v>93</v>
      </c>
      <c r="C39" s="307" t="s">
        <v>84</v>
      </c>
      <c r="D39" s="307" t="s">
        <v>53</v>
      </c>
      <c r="E39" s="271">
        <v>6.1</v>
      </c>
      <c r="F39" s="271">
        <v>1.92</v>
      </c>
      <c r="G39" s="310">
        <v>4.18</v>
      </c>
      <c r="H39" s="317">
        <v>-0.71</v>
      </c>
      <c r="I39" s="271"/>
      <c r="J39" s="270"/>
      <c r="K39" s="307"/>
      <c r="L39" s="270"/>
      <c r="M39" s="270"/>
      <c r="N39" s="110"/>
      <c r="O39" s="271"/>
      <c r="P39" s="271"/>
      <c r="Q39" s="306"/>
      <c r="R39" s="734">
        <v>-0.71</v>
      </c>
      <c r="S39" s="729">
        <v>0</v>
      </c>
      <c r="T39" s="739"/>
      <c r="U39" s="315"/>
      <c r="V39" s="313"/>
      <c r="W39" s="205"/>
      <c r="X39" s="205"/>
      <c r="Y39" s="205"/>
      <c r="Z39" s="205"/>
    </row>
    <row r="40" spans="1:26" ht="14.4" x14ac:dyDescent="0.3">
      <c r="A40" s="272">
        <v>45176</v>
      </c>
      <c r="B40" s="270" t="s">
        <v>93</v>
      </c>
      <c r="C40" s="307" t="s">
        <v>84</v>
      </c>
      <c r="D40" s="307" t="s">
        <v>53</v>
      </c>
      <c r="E40" s="271">
        <v>3.05</v>
      </c>
      <c r="F40" s="271">
        <v>-1.1299999999999999</v>
      </c>
      <c r="G40" s="110">
        <v>4.18</v>
      </c>
      <c r="H40" s="311"/>
      <c r="I40" s="271"/>
      <c r="J40" s="270"/>
      <c r="K40" s="307"/>
      <c r="L40" s="270"/>
      <c r="M40" s="270"/>
      <c r="N40" s="110"/>
      <c r="O40" s="271"/>
      <c r="P40" s="271"/>
      <c r="Q40" s="306"/>
      <c r="R40" s="734"/>
      <c r="S40" s="729"/>
      <c r="T40" s="739"/>
      <c r="U40" s="315"/>
      <c r="V40" s="313"/>
      <c r="W40" s="205"/>
      <c r="X40" s="205"/>
      <c r="Y40" s="205"/>
      <c r="Z40" s="205"/>
    </row>
    <row r="41" spans="1:26" ht="14.4" x14ac:dyDescent="0.3">
      <c r="A41" s="272">
        <v>45552</v>
      </c>
      <c r="B41" s="270" t="s">
        <v>186</v>
      </c>
      <c r="C41" s="307" t="s">
        <v>84</v>
      </c>
      <c r="D41" s="307" t="s">
        <v>59</v>
      </c>
      <c r="E41" s="271" t="s">
        <v>197</v>
      </c>
      <c r="F41" s="271"/>
      <c r="G41" s="110"/>
      <c r="H41" s="311"/>
      <c r="I41" s="271"/>
      <c r="J41" s="270"/>
      <c r="K41" s="307"/>
      <c r="L41" s="270"/>
      <c r="M41" s="270"/>
      <c r="N41" s="110"/>
      <c r="O41" s="271"/>
      <c r="P41" s="271"/>
      <c r="Q41" s="306"/>
      <c r="R41" s="273"/>
      <c r="S41" s="729"/>
      <c r="T41" s="739"/>
      <c r="U41" s="315"/>
      <c r="V41" s="313"/>
      <c r="W41" s="205"/>
      <c r="X41" s="205"/>
      <c r="Y41" s="205"/>
      <c r="Z41" s="205"/>
    </row>
    <row r="42" spans="1:26" ht="14.4" x14ac:dyDescent="0.3">
      <c r="A42" s="272">
        <v>45784</v>
      </c>
      <c r="B42" s="270" t="s">
        <v>200</v>
      </c>
      <c r="C42" s="307" t="s">
        <v>84</v>
      </c>
      <c r="D42" s="307" t="s">
        <v>52</v>
      </c>
      <c r="E42" s="271" t="s">
        <v>197</v>
      </c>
      <c r="F42" s="271"/>
      <c r="G42" s="110"/>
      <c r="H42" s="311"/>
      <c r="I42" s="271"/>
      <c r="J42" s="270"/>
      <c r="K42" s="307"/>
      <c r="L42" s="270"/>
      <c r="M42" s="270"/>
      <c r="N42" s="110"/>
      <c r="O42" s="271"/>
      <c r="P42" s="271"/>
      <c r="Q42" s="306"/>
      <c r="R42" s="273"/>
      <c r="S42" s="729"/>
      <c r="T42" s="739"/>
      <c r="U42" s="315"/>
      <c r="V42" s="313"/>
      <c r="W42" s="205"/>
      <c r="X42" s="205"/>
      <c r="Y42" s="205"/>
      <c r="Z42" s="205"/>
    </row>
    <row r="43" spans="1:26" ht="14.4" x14ac:dyDescent="0.3">
      <c r="A43" s="70"/>
      <c r="B43" s="70"/>
      <c r="C43" s="213"/>
      <c r="D43" s="213"/>
      <c r="E43" s="71"/>
      <c r="F43" s="71"/>
      <c r="G43" s="206"/>
      <c r="H43" s="209"/>
      <c r="I43" s="71"/>
      <c r="J43" s="70"/>
      <c r="K43" s="213"/>
      <c r="L43" s="70"/>
      <c r="M43" s="70"/>
      <c r="N43" s="206"/>
      <c r="O43" s="71"/>
      <c r="P43" s="70"/>
      <c r="Q43" s="710"/>
      <c r="R43" s="72"/>
      <c r="S43" s="211"/>
      <c r="T43" s="738"/>
      <c r="U43" s="314"/>
      <c r="V43" s="4"/>
    </row>
    <row r="44" spans="1:26" s="236" customFormat="1" ht="14.4" x14ac:dyDescent="0.3">
      <c r="A44" s="333">
        <v>45052</v>
      </c>
      <c r="B44" s="330" t="s">
        <v>81</v>
      </c>
      <c r="C44" s="334" t="s">
        <v>96</v>
      </c>
      <c r="D44" s="334" t="s">
        <v>52</v>
      </c>
      <c r="E44" s="331">
        <v>12.2</v>
      </c>
      <c r="F44" s="331">
        <v>0.73</v>
      </c>
      <c r="G44" s="339">
        <v>11.469999999999999</v>
      </c>
      <c r="H44" s="336"/>
      <c r="I44" s="331"/>
      <c r="J44" s="331">
        <v>4.7725</v>
      </c>
      <c r="K44" s="340">
        <v>0.41</v>
      </c>
      <c r="L44" s="331">
        <v>6.6974999999999989</v>
      </c>
      <c r="M44" s="330"/>
      <c r="N44" s="335"/>
      <c r="O44" s="331"/>
      <c r="P44" s="331">
        <v>1.9567249999999998</v>
      </c>
      <c r="Q44" s="340"/>
      <c r="R44" s="332"/>
      <c r="S44" s="338"/>
      <c r="T44" s="741">
        <v>396638.63699999999</v>
      </c>
      <c r="U44" s="334">
        <v>6698075.5769999996</v>
      </c>
      <c r="V44" s="238">
        <v>1234.595</v>
      </c>
    </row>
    <row r="45" spans="1:26" s="236" customFormat="1" ht="14.4" x14ac:dyDescent="0.3">
      <c r="A45" s="333">
        <v>45176</v>
      </c>
      <c r="B45" s="330" t="s">
        <v>93</v>
      </c>
      <c r="C45" s="334" t="s">
        <v>96</v>
      </c>
      <c r="D45" s="334" t="s">
        <v>53</v>
      </c>
      <c r="E45" s="331">
        <v>6.1</v>
      </c>
      <c r="F45" s="331">
        <v>0.28000000000000003</v>
      </c>
      <c r="G45" s="339">
        <v>5.8199999999999994</v>
      </c>
      <c r="H45" s="336"/>
      <c r="I45" s="331"/>
      <c r="J45" s="331"/>
      <c r="K45" s="340"/>
      <c r="L45" s="330"/>
      <c r="M45" s="330"/>
      <c r="N45" s="335"/>
      <c r="O45" s="331">
        <v>-2.7464749999999993</v>
      </c>
      <c r="P45" s="331"/>
      <c r="Q45" s="340">
        <v>-0.78974999999999962</v>
      </c>
      <c r="R45" s="332"/>
      <c r="S45" s="338">
        <v>0</v>
      </c>
      <c r="T45" s="740"/>
      <c r="U45" s="709"/>
      <c r="V45" s="239"/>
    </row>
    <row r="46" spans="1:26" s="236" customFormat="1" ht="14.4" x14ac:dyDescent="0.3">
      <c r="A46" s="333">
        <v>45176</v>
      </c>
      <c r="B46" s="330" t="s">
        <v>93</v>
      </c>
      <c r="C46" s="334" t="s">
        <v>96</v>
      </c>
      <c r="D46" s="334" t="s">
        <v>53</v>
      </c>
      <c r="E46" s="331">
        <v>10.15</v>
      </c>
      <c r="F46" s="331">
        <v>4.330000000000001</v>
      </c>
      <c r="G46" s="339">
        <v>5.8199999999999994</v>
      </c>
      <c r="H46" s="336"/>
      <c r="I46" s="331"/>
      <c r="J46" s="331"/>
      <c r="K46" s="340"/>
      <c r="L46" s="330"/>
      <c r="M46" s="330"/>
      <c r="N46" s="335"/>
      <c r="O46" s="331"/>
      <c r="P46" s="331"/>
      <c r="Q46" s="340"/>
      <c r="R46" s="332"/>
      <c r="S46" s="338"/>
      <c r="T46" s="332"/>
      <c r="U46" s="709"/>
      <c r="V46" s="239"/>
    </row>
    <row r="47" spans="1:26" s="236" customFormat="1" ht="14.4" x14ac:dyDescent="0.3">
      <c r="A47" s="333">
        <v>45301</v>
      </c>
      <c r="B47" s="330" t="s">
        <v>103</v>
      </c>
      <c r="C47" s="334" t="s">
        <v>96</v>
      </c>
      <c r="D47" s="334" t="s">
        <v>52</v>
      </c>
      <c r="E47" s="331">
        <v>10.15</v>
      </c>
      <c r="F47" s="331">
        <v>0</v>
      </c>
      <c r="G47" s="339">
        <v>10.15</v>
      </c>
      <c r="H47" s="359">
        <v>4.330000000000001</v>
      </c>
      <c r="I47" s="331"/>
      <c r="J47" s="331"/>
      <c r="K47" s="340"/>
      <c r="L47" s="330"/>
      <c r="M47" s="330"/>
      <c r="N47" s="335"/>
      <c r="O47" s="331"/>
      <c r="P47" s="331"/>
      <c r="Q47" s="340"/>
      <c r="R47" s="332"/>
      <c r="S47" s="338"/>
      <c r="T47" s="332"/>
      <c r="U47" s="709"/>
      <c r="V47" s="239"/>
    </row>
    <row r="48" spans="1:26" s="236" customFormat="1" ht="14.4" x14ac:dyDescent="0.3">
      <c r="A48" s="333">
        <v>45301</v>
      </c>
      <c r="B48" s="330" t="s">
        <v>103</v>
      </c>
      <c r="C48" s="334" t="s">
        <v>96</v>
      </c>
      <c r="D48" s="334" t="s">
        <v>52</v>
      </c>
      <c r="E48" s="331">
        <v>14.15</v>
      </c>
      <c r="F48" s="331">
        <v>4.4000000000000004</v>
      </c>
      <c r="G48" s="339">
        <v>9.75</v>
      </c>
      <c r="H48" s="336"/>
      <c r="I48" s="331"/>
      <c r="J48" s="331"/>
      <c r="K48" s="340"/>
      <c r="L48" s="330"/>
      <c r="M48" s="330"/>
      <c r="N48" s="335"/>
      <c r="O48" s="331"/>
      <c r="P48" s="331"/>
      <c r="Q48" s="340"/>
      <c r="R48" s="332"/>
      <c r="S48" s="338"/>
      <c r="T48" s="332"/>
      <c r="U48" s="709"/>
      <c r="V48" s="239"/>
    </row>
    <row r="49" spans="1:24" s="236" customFormat="1" ht="14.4" x14ac:dyDescent="0.3">
      <c r="A49" s="333">
        <v>45406</v>
      </c>
      <c r="B49" s="330" t="s">
        <v>194</v>
      </c>
      <c r="C49" s="334" t="s">
        <v>96</v>
      </c>
      <c r="D49" s="334" t="s">
        <v>52</v>
      </c>
      <c r="E49" s="331">
        <v>14.15</v>
      </c>
      <c r="F49" s="331">
        <v>2.5099999999999998</v>
      </c>
      <c r="G49" s="339">
        <v>11.64</v>
      </c>
      <c r="H49" s="336"/>
      <c r="I49" s="331"/>
      <c r="J49" s="331"/>
      <c r="K49" s="340"/>
      <c r="L49" s="330"/>
      <c r="M49" s="330"/>
      <c r="N49" s="335"/>
      <c r="O49" s="331"/>
      <c r="P49" s="331"/>
      <c r="Q49" s="340"/>
      <c r="R49" s="332"/>
      <c r="S49" s="338"/>
      <c r="T49" s="332"/>
      <c r="U49" s="709"/>
      <c r="V49" s="239"/>
    </row>
    <row r="50" spans="1:24" s="236" customFormat="1" ht="14.4" x14ac:dyDescent="0.3">
      <c r="A50" s="333">
        <v>45406</v>
      </c>
      <c r="B50" s="330" t="s">
        <v>194</v>
      </c>
      <c r="C50" s="334" t="s">
        <v>96</v>
      </c>
      <c r="D50" s="334" t="s">
        <v>52</v>
      </c>
      <c r="E50" s="331">
        <v>11.15</v>
      </c>
      <c r="F50" s="331">
        <v>-0.49000000000000021</v>
      </c>
      <c r="G50" s="339">
        <v>11.64</v>
      </c>
      <c r="H50" s="336"/>
      <c r="I50" s="331">
        <v>5.34</v>
      </c>
      <c r="J50" s="331"/>
      <c r="K50" s="340">
        <v>0.44432014427020783</v>
      </c>
      <c r="L50" s="331">
        <v>6.3000000000000007</v>
      </c>
      <c r="M50" s="330"/>
      <c r="N50" s="335"/>
      <c r="O50" s="331"/>
      <c r="P50" s="331">
        <v>2.3726695704029099</v>
      </c>
      <c r="Q50" s="340"/>
      <c r="R50" s="714">
        <v>0.43200000000000122</v>
      </c>
      <c r="S50" s="338"/>
      <c r="T50" s="330">
        <v>396634.45299999998</v>
      </c>
      <c r="U50" s="334">
        <v>6698072.8949999996</v>
      </c>
      <c r="V50" s="238">
        <v>1232.9639999999999</v>
      </c>
    </row>
    <row r="51" spans="1:24" s="236" customFormat="1" ht="14.4" x14ac:dyDescent="0.3">
      <c r="A51" s="333">
        <v>45552</v>
      </c>
      <c r="B51" s="330" t="s">
        <v>103</v>
      </c>
      <c r="C51" s="334" t="s">
        <v>96</v>
      </c>
      <c r="D51" s="334" t="s">
        <v>59</v>
      </c>
      <c r="E51" s="331">
        <v>11.15</v>
      </c>
      <c r="F51" s="331">
        <v>5.21</v>
      </c>
      <c r="G51" s="339">
        <v>5.94</v>
      </c>
      <c r="H51" s="336"/>
      <c r="I51" s="331">
        <v>0.17</v>
      </c>
      <c r="J51" s="331"/>
      <c r="K51" s="340">
        <v>0.5302705789962161</v>
      </c>
      <c r="L51" s="331">
        <v>5.7700000000000005</v>
      </c>
      <c r="M51" s="330"/>
      <c r="N51" s="335"/>
      <c r="O51" s="331">
        <v>-2.2825235719735533</v>
      </c>
      <c r="P51" s="331"/>
      <c r="Q51" s="340">
        <v>9.014599842935675E-2</v>
      </c>
      <c r="R51" s="714">
        <v>-4.4999999999999041E-2</v>
      </c>
      <c r="S51" s="338">
        <v>0</v>
      </c>
      <c r="T51" s="330">
        <v>396638.08600000001</v>
      </c>
      <c r="U51" s="334">
        <v>6698075.7740000002</v>
      </c>
      <c r="V51" s="238">
        <v>1228.8810000000001</v>
      </c>
    </row>
    <row r="52" spans="1:24" s="236" customFormat="1" ht="14.4" x14ac:dyDescent="0.3">
      <c r="A52" s="333">
        <v>45784</v>
      </c>
      <c r="B52" s="330" t="s">
        <v>200</v>
      </c>
      <c r="C52" s="334" t="s">
        <v>96</v>
      </c>
      <c r="D52" s="334" t="s">
        <v>52</v>
      </c>
      <c r="E52" s="331" t="s">
        <v>61</v>
      </c>
      <c r="F52" s="331"/>
      <c r="G52" s="339"/>
      <c r="H52" s="336"/>
      <c r="I52" s="331"/>
      <c r="J52" s="331"/>
      <c r="K52" s="340"/>
      <c r="L52" s="331"/>
      <c r="M52" s="330"/>
      <c r="N52" s="335"/>
      <c r="O52" s="331"/>
      <c r="P52" s="331"/>
      <c r="Q52" s="340"/>
      <c r="R52" s="714"/>
      <c r="S52" s="338"/>
      <c r="T52" s="330"/>
      <c r="U52" s="334"/>
      <c r="V52" s="238"/>
    </row>
    <row r="53" spans="1:24" ht="14.4" x14ac:dyDescent="0.3">
      <c r="A53" s="70"/>
      <c r="B53" s="70"/>
      <c r="C53" s="213"/>
      <c r="D53" s="213"/>
      <c r="E53" s="71"/>
      <c r="F53" s="71"/>
      <c r="G53" s="206"/>
      <c r="H53" s="209"/>
      <c r="I53" s="71"/>
      <c r="J53" s="70"/>
      <c r="K53" s="213"/>
      <c r="L53" s="70"/>
      <c r="M53" s="70"/>
      <c r="N53" s="206"/>
      <c r="O53" s="71"/>
      <c r="P53" s="70"/>
      <c r="Q53" s="710"/>
      <c r="R53" s="72"/>
      <c r="S53" s="211"/>
      <c r="T53" s="72"/>
      <c r="U53" s="314"/>
      <c r="V53" s="4"/>
    </row>
    <row r="54" spans="1:24" s="701" customFormat="1" ht="14.4" x14ac:dyDescent="0.3">
      <c r="A54" s="702">
        <v>45406</v>
      </c>
      <c r="B54" s="698" t="s">
        <v>186</v>
      </c>
      <c r="C54" s="728" t="s">
        <v>189</v>
      </c>
      <c r="D54" s="728" t="s">
        <v>52</v>
      </c>
      <c r="E54" s="699">
        <v>12</v>
      </c>
      <c r="F54" s="699">
        <v>0.11</v>
      </c>
      <c r="G54" s="718">
        <v>11.89</v>
      </c>
      <c r="H54" s="719"/>
      <c r="I54" s="699">
        <v>5.24</v>
      </c>
      <c r="J54" s="698"/>
      <c r="K54" s="727">
        <v>0.44432014427020783</v>
      </c>
      <c r="L54" s="699">
        <v>6.65</v>
      </c>
      <c r="M54" s="698"/>
      <c r="N54" s="720"/>
      <c r="O54" s="699"/>
      <c r="P54" s="699">
        <v>2.328237555975889</v>
      </c>
      <c r="Q54" s="727"/>
      <c r="R54" s="700"/>
      <c r="S54" s="721"/>
      <c r="T54" s="698">
        <v>396643.11</v>
      </c>
      <c r="U54" s="728">
        <v>6698073.4330000002</v>
      </c>
      <c r="V54" s="245">
        <v>1232.771</v>
      </c>
    </row>
    <row r="55" spans="1:24" s="701" customFormat="1" ht="14.4" x14ac:dyDescent="0.3">
      <c r="A55" s="702">
        <v>45552</v>
      </c>
      <c r="B55" s="698" t="s">
        <v>186</v>
      </c>
      <c r="C55" s="728" t="s">
        <v>189</v>
      </c>
      <c r="D55" s="728" t="s">
        <v>59</v>
      </c>
      <c r="E55" s="699">
        <v>10</v>
      </c>
      <c r="F55" s="699">
        <v>3.24</v>
      </c>
      <c r="G55" s="718">
        <v>6.76</v>
      </c>
      <c r="H55" s="719"/>
      <c r="I55" s="699">
        <v>0.105</v>
      </c>
      <c r="J55" s="699"/>
      <c r="K55" s="727">
        <v>0.5302705789962161</v>
      </c>
      <c r="L55" s="699">
        <v>6.6549999999999994</v>
      </c>
      <c r="M55" s="699">
        <v>6.6524999999999999</v>
      </c>
      <c r="N55" s="720"/>
      <c r="O55" s="699">
        <v>-2.2725591451812863</v>
      </c>
      <c r="P55" s="699"/>
      <c r="Q55" s="727">
        <v>5.5678410794602687E-2</v>
      </c>
      <c r="R55" s="700"/>
      <c r="S55" s="721">
        <v>0</v>
      </c>
      <c r="T55" s="698">
        <v>396644.55099999998</v>
      </c>
      <c r="U55" s="728">
        <v>6698074.6459999997</v>
      </c>
      <c r="V55" s="245">
        <v>1229.752</v>
      </c>
    </row>
    <row r="56" spans="1:24" s="701" customFormat="1" ht="14.4" x14ac:dyDescent="0.3">
      <c r="A56" s="702">
        <v>45552</v>
      </c>
      <c r="B56" s="698" t="s">
        <v>186</v>
      </c>
      <c r="C56" s="728" t="s">
        <v>189</v>
      </c>
      <c r="D56" s="728" t="s">
        <v>59</v>
      </c>
      <c r="E56" s="699">
        <v>11</v>
      </c>
      <c r="F56" s="699">
        <v>4.24</v>
      </c>
      <c r="G56" s="718">
        <v>6.76</v>
      </c>
      <c r="H56" s="719"/>
      <c r="I56" s="699"/>
      <c r="J56" s="698"/>
      <c r="K56" s="727"/>
      <c r="L56" s="699"/>
      <c r="M56" s="698"/>
      <c r="N56" s="720"/>
      <c r="O56" s="699"/>
      <c r="P56" s="699"/>
      <c r="Q56" s="727"/>
      <c r="R56" s="700"/>
      <c r="S56" s="721"/>
      <c r="T56" s="698"/>
      <c r="U56" s="728"/>
      <c r="V56" s="245"/>
    </row>
    <row r="57" spans="1:24" s="701" customFormat="1" ht="14.4" x14ac:dyDescent="0.3">
      <c r="A57" s="702">
        <v>45659</v>
      </c>
      <c r="B57" s="698" t="s">
        <v>200</v>
      </c>
      <c r="C57" s="728" t="s">
        <v>189</v>
      </c>
      <c r="D57" s="728" t="s">
        <v>89</v>
      </c>
      <c r="E57" s="699" t="s">
        <v>61</v>
      </c>
      <c r="F57" s="699"/>
      <c r="G57" s="718"/>
      <c r="H57" s="719"/>
      <c r="I57" s="699"/>
      <c r="J57" s="698"/>
      <c r="K57" s="727"/>
      <c r="L57" s="699"/>
      <c r="M57" s="698"/>
      <c r="N57" s="720"/>
      <c r="O57" s="699"/>
      <c r="P57" s="699"/>
      <c r="Q57" s="727"/>
      <c r="R57" s="700"/>
      <c r="S57" s="721"/>
      <c r="T57" s="698"/>
      <c r="U57" s="728"/>
      <c r="V57" s="245"/>
    </row>
    <row r="58" spans="1:24" s="701" customFormat="1" ht="14.4" x14ac:dyDescent="0.3">
      <c r="A58" s="702">
        <v>45784</v>
      </c>
      <c r="B58" s="698" t="s">
        <v>200</v>
      </c>
      <c r="C58" s="728" t="s">
        <v>189</v>
      </c>
      <c r="D58" s="728" t="s">
        <v>52</v>
      </c>
      <c r="E58" s="699" t="s">
        <v>61</v>
      </c>
      <c r="F58" s="699"/>
      <c r="G58" s="718"/>
      <c r="H58" s="719"/>
      <c r="I58" s="699"/>
      <c r="J58" s="698"/>
      <c r="K58" s="727"/>
      <c r="L58" s="699"/>
      <c r="M58" s="698"/>
      <c r="N58" s="720"/>
      <c r="O58" s="699"/>
      <c r="P58" s="699"/>
      <c r="Q58" s="727"/>
      <c r="R58" s="700"/>
      <c r="S58" s="721"/>
      <c r="T58" s="698"/>
      <c r="U58" s="728"/>
      <c r="V58" s="245"/>
    </row>
    <row r="59" spans="1:24" ht="14.4" x14ac:dyDescent="0.3">
      <c r="A59" s="70"/>
      <c r="B59" s="70"/>
      <c r="C59" s="213"/>
      <c r="D59" s="213"/>
      <c r="E59" s="71"/>
      <c r="F59" s="71"/>
      <c r="G59" s="206"/>
      <c r="H59" s="209"/>
      <c r="I59" s="71"/>
      <c r="J59" s="70"/>
      <c r="K59" s="213"/>
      <c r="L59" s="70"/>
      <c r="M59" s="70"/>
      <c r="N59" s="206"/>
      <c r="O59" s="71"/>
      <c r="P59" s="70"/>
      <c r="Q59" s="710"/>
      <c r="R59" s="72"/>
      <c r="S59" s="211"/>
      <c r="T59" s="72"/>
      <c r="U59" s="314"/>
      <c r="V59" s="4"/>
    </row>
    <row r="60" spans="1:24" ht="14.4" x14ac:dyDescent="0.3">
      <c r="A60" s="174">
        <v>45784</v>
      </c>
      <c r="B60" s="170" t="s">
        <v>220</v>
      </c>
      <c r="C60" s="214" t="s">
        <v>245</v>
      </c>
      <c r="D60" s="214" t="s">
        <v>52</v>
      </c>
      <c r="E60" s="171">
        <v>10</v>
      </c>
      <c r="F60" s="171">
        <v>0.01</v>
      </c>
      <c r="G60" s="208">
        <f>E60-F60</f>
        <v>9.99</v>
      </c>
      <c r="H60" s="210"/>
      <c r="I60" s="171"/>
      <c r="J60" s="171">
        <f>SiteS_PitCore_20250507!I3</f>
        <v>8.68</v>
      </c>
      <c r="K60" s="217">
        <f>SiteS_PitCore_20250507!I4</f>
        <v>0.45912197573440999</v>
      </c>
      <c r="L60" s="171">
        <f>G60-J60</f>
        <v>1.3100000000000005</v>
      </c>
      <c r="M60" s="170"/>
      <c r="N60" s="207"/>
      <c r="O60" s="171"/>
      <c r="P60" s="171">
        <f>J60*K60</f>
        <v>3.9851787493746786</v>
      </c>
      <c r="Q60" s="217"/>
      <c r="R60" s="172"/>
      <c r="S60" s="905"/>
      <c r="T60" s="170">
        <v>396645.14199999999</v>
      </c>
      <c r="U60" s="214">
        <v>6698082.9139999999</v>
      </c>
      <c r="V60" s="906">
        <v>1239.54</v>
      </c>
      <c r="W60" s="173"/>
      <c r="X60" s="173"/>
    </row>
    <row r="61" spans="1:24" ht="14.4" x14ac:dyDescent="0.3">
      <c r="A61" s="174">
        <v>45784</v>
      </c>
      <c r="B61" s="170" t="s">
        <v>220</v>
      </c>
      <c r="C61" s="214" t="s">
        <v>245</v>
      </c>
      <c r="D61" s="214" t="s">
        <v>52</v>
      </c>
      <c r="E61" s="171">
        <v>10</v>
      </c>
      <c r="F61" s="171">
        <v>0.01</v>
      </c>
      <c r="G61" s="208">
        <f>E61-F61</f>
        <v>9.99</v>
      </c>
      <c r="H61" s="210"/>
      <c r="I61" s="171"/>
      <c r="J61" s="170"/>
      <c r="K61" s="214"/>
      <c r="L61" s="170"/>
      <c r="M61" s="170"/>
      <c r="N61" s="207"/>
      <c r="O61" s="171"/>
      <c r="P61" s="170"/>
      <c r="Q61" s="217"/>
      <c r="R61" s="172"/>
      <c r="S61" s="905"/>
      <c r="T61" s="170">
        <v>396645.14199999999</v>
      </c>
      <c r="U61" s="214">
        <v>6698082.9139999999</v>
      </c>
      <c r="V61" s="906">
        <v>1239.54</v>
      </c>
      <c r="W61" s="173"/>
      <c r="X61" s="173"/>
    </row>
    <row r="62" spans="1:24" ht="14.4" x14ac:dyDescent="0.3">
      <c r="A62" s="170"/>
      <c r="B62" s="170"/>
      <c r="C62" s="214"/>
      <c r="D62" s="214"/>
      <c r="E62" s="171"/>
      <c r="F62" s="171"/>
      <c r="G62" s="207"/>
      <c r="H62" s="210"/>
      <c r="I62" s="171"/>
      <c r="J62" s="170"/>
      <c r="K62" s="214"/>
      <c r="L62" s="170"/>
      <c r="M62" s="170"/>
      <c r="N62" s="207"/>
      <c r="O62" s="171"/>
      <c r="P62" s="170"/>
      <c r="Q62" s="217"/>
      <c r="R62" s="172"/>
      <c r="S62" s="905"/>
      <c r="T62" s="172"/>
      <c r="U62" s="904"/>
      <c r="V62" s="907"/>
      <c r="W62" s="173"/>
      <c r="X62" s="173"/>
    </row>
    <row r="63" spans="1:24" ht="14.4" x14ac:dyDescent="0.3">
      <c r="A63" s="170"/>
      <c r="B63" s="170"/>
      <c r="C63" s="214"/>
      <c r="D63" s="214"/>
      <c r="E63" s="171"/>
      <c r="F63" s="171"/>
      <c r="G63" s="207"/>
      <c r="H63" s="210"/>
      <c r="I63" s="171"/>
      <c r="J63" s="170"/>
      <c r="K63" s="214"/>
      <c r="L63" s="170"/>
      <c r="M63" s="170"/>
      <c r="N63" s="207"/>
      <c r="O63" s="171"/>
      <c r="P63" s="170"/>
      <c r="Q63" s="217"/>
      <c r="R63" s="172"/>
      <c r="S63" s="905"/>
      <c r="T63" s="172"/>
      <c r="U63" s="904"/>
      <c r="V63" s="907"/>
      <c r="W63" s="173"/>
      <c r="X63" s="173"/>
    </row>
    <row r="64" spans="1:24" ht="14.4" x14ac:dyDescent="0.3">
      <c r="A64" s="170"/>
      <c r="B64" s="170"/>
      <c r="C64" s="214"/>
      <c r="D64" s="214"/>
      <c r="E64" s="171"/>
      <c r="F64" s="171"/>
      <c r="G64" s="207"/>
      <c r="H64" s="210"/>
      <c r="I64" s="171"/>
      <c r="J64" s="170"/>
      <c r="K64" s="214"/>
      <c r="L64" s="170"/>
      <c r="M64" s="170"/>
      <c r="N64" s="207"/>
      <c r="O64" s="171"/>
      <c r="P64" s="170"/>
      <c r="Q64" s="217"/>
      <c r="R64" s="172"/>
      <c r="S64" s="905"/>
      <c r="T64" s="172"/>
      <c r="U64" s="904"/>
      <c r="V64" s="907"/>
      <c r="W64" s="173"/>
      <c r="X64" s="173"/>
    </row>
    <row r="65" spans="1:21" ht="15" thickBot="1" x14ac:dyDescent="0.35">
      <c r="A65" s="70"/>
      <c r="B65" s="70"/>
      <c r="C65" s="70"/>
      <c r="D65" s="70"/>
      <c r="E65" s="71"/>
      <c r="F65" s="71"/>
      <c r="G65" s="70"/>
      <c r="H65" s="70"/>
      <c r="I65" s="71"/>
      <c r="J65" s="70"/>
      <c r="K65" s="70"/>
      <c r="L65" s="70"/>
      <c r="M65" s="70"/>
      <c r="N65" s="70"/>
      <c r="O65" s="71"/>
      <c r="P65" s="70"/>
      <c r="Q65" s="71"/>
      <c r="R65" s="72"/>
      <c r="S65" s="72"/>
      <c r="T65" s="72"/>
      <c r="U65" s="72"/>
    </row>
    <row r="66" spans="1:21" ht="14.4" customHeight="1" x14ac:dyDescent="0.3">
      <c r="A66" s="932" t="s">
        <v>37</v>
      </c>
      <c r="B66" s="933"/>
      <c r="C66" s="936" t="s">
        <v>38</v>
      </c>
      <c r="D66" s="937"/>
      <c r="E66" s="126" t="s">
        <v>39</v>
      </c>
      <c r="F66" s="74"/>
      <c r="G66" s="73" t="s">
        <v>40</v>
      </c>
      <c r="H66" s="74"/>
      <c r="I66" s="99" t="s">
        <v>41</v>
      </c>
      <c r="Q66" s="353"/>
      <c r="R66" s="68"/>
      <c r="S66" s="68"/>
      <c r="T66" s="68"/>
      <c r="U66" s="72"/>
    </row>
    <row r="67" spans="1:21" ht="14.4" customHeight="1" x14ac:dyDescent="0.3">
      <c r="A67" s="934"/>
      <c r="B67" s="935"/>
      <c r="C67" s="824" t="s">
        <v>42</v>
      </c>
      <c r="D67" s="76" t="s">
        <v>43</v>
      </c>
      <c r="E67" s="127">
        <f>A56</f>
        <v>45552</v>
      </c>
      <c r="F67" s="77" t="s">
        <v>44</v>
      </c>
      <c r="G67" s="127">
        <f>A60</f>
        <v>45784</v>
      </c>
      <c r="H67" s="77" t="s">
        <v>44</v>
      </c>
      <c r="I67" s="79" t="s">
        <v>54</v>
      </c>
      <c r="Q67" s="353"/>
      <c r="R67" s="80"/>
      <c r="S67" s="80"/>
      <c r="T67" s="68"/>
      <c r="U67" s="72"/>
    </row>
    <row r="68" spans="1:21" ht="14.4" x14ac:dyDescent="0.3">
      <c r="A68" s="81"/>
      <c r="B68" s="82" t="s">
        <v>45</v>
      </c>
      <c r="C68" s="844">
        <f>P60</f>
        <v>3.9851787493746786</v>
      </c>
      <c r="D68" s="83"/>
      <c r="E68" s="83"/>
      <c r="F68" s="84"/>
      <c r="G68" s="85"/>
      <c r="H68" s="83"/>
      <c r="I68" s="100"/>
      <c r="Q68" s="353"/>
      <c r="R68" s="80"/>
      <c r="S68" s="80"/>
      <c r="T68" s="68"/>
      <c r="U68" s="72"/>
    </row>
    <row r="69" spans="1:21" ht="14.4" x14ac:dyDescent="0.3">
      <c r="A69" s="81"/>
      <c r="B69" s="82" t="s">
        <v>46</v>
      </c>
      <c r="C69" s="828" t="s">
        <v>54</v>
      </c>
      <c r="D69" s="83"/>
      <c r="E69" s="83"/>
      <c r="F69" s="84"/>
      <c r="G69" s="85"/>
      <c r="H69" s="83"/>
      <c r="I69" s="100"/>
      <c r="Q69" s="353"/>
      <c r="R69" s="80"/>
      <c r="S69" s="80"/>
      <c r="T69" s="68"/>
      <c r="U69" s="72"/>
    </row>
    <row r="70" spans="1:21" ht="14.4" x14ac:dyDescent="0.3">
      <c r="A70" s="81"/>
      <c r="B70" s="82" t="s">
        <v>47</v>
      </c>
      <c r="C70" s="828" t="s">
        <v>54</v>
      </c>
      <c r="D70" s="83"/>
      <c r="E70" s="83"/>
      <c r="F70" s="84"/>
      <c r="G70" s="85"/>
      <c r="H70" s="83"/>
      <c r="I70" s="100"/>
      <c r="Q70" s="353"/>
      <c r="R70" s="80"/>
      <c r="S70" s="80"/>
      <c r="T70" s="68"/>
      <c r="U70" s="72"/>
    </row>
    <row r="71" spans="1:21" ht="14.4" x14ac:dyDescent="0.3">
      <c r="A71" s="81"/>
      <c r="B71" s="87" t="s">
        <v>48</v>
      </c>
      <c r="C71" s="845">
        <f>S55</f>
        <v>0</v>
      </c>
      <c r="D71" s="83"/>
      <c r="E71" s="83"/>
      <c r="F71" s="84"/>
      <c r="G71" s="83"/>
      <c r="H71" s="83"/>
      <c r="I71" s="100"/>
      <c r="Q71" s="353"/>
      <c r="R71" s="80"/>
      <c r="S71" s="80"/>
      <c r="T71" s="68"/>
      <c r="U71" s="72"/>
    </row>
    <row r="72" spans="1:21" ht="14.4" x14ac:dyDescent="0.3">
      <c r="A72" s="81"/>
      <c r="B72" s="88" t="s">
        <v>49</v>
      </c>
      <c r="C72" s="828" t="s">
        <v>54</v>
      </c>
      <c r="D72" s="83"/>
      <c r="E72" s="83"/>
      <c r="F72" s="84"/>
      <c r="G72" s="83"/>
      <c r="H72" s="83"/>
      <c r="I72" s="100"/>
      <c r="Q72" s="353"/>
      <c r="R72" s="80"/>
      <c r="S72" s="80"/>
      <c r="T72" s="68"/>
      <c r="U72" s="72"/>
    </row>
    <row r="73" spans="1:21" ht="15" thickBot="1" x14ac:dyDescent="0.35">
      <c r="A73" s="89"/>
      <c r="B73" s="90" t="s">
        <v>50</v>
      </c>
      <c r="C73" s="829" t="s">
        <v>54</v>
      </c>
      <c r="D73" s="91"/>
      <c r="E73" s="91"/>
      <c r="F73" s="92"/>
      <c r="G73" s="93"/>
      <c r="H73" s="93"/>
      <c r="I73" s="101"/>
      <c r="Q73" s="353"/>
      <c r="R73" s="80"/>
      <c r="S73" s="80"/>
      <c r="T73" s="68"/>
      <c r="U73" s="72"/>
    </row>
    <row r="74" spans="1:21" ht="14.4" x14ac:dyDescent="0.3">
      <c r="A74" s="72"/>
      <c r="B74" s="72"/>
      <c r="C74" s="72"/>
      <c r="D74" s="72"/>
      <c r="E74" s="72"/>
      <c r="F74" s="72"/>
      <c r="G74" s="72"/>
      <c r="H74" s="72"/>
      <c r="I74" s="102"/>
      <c r="J74" s="72"/>
      <c r="K74" s="72"/>
      <c r="L74" s="72"/>
      <c r="M74" s="72"/>
      <c r="N74" s="72"/>
      <c r="O74" s="102"/>
      <c r="P74" s="72"/>
      <c r="Q74" s="354"/>
      <c r="R74" s="68"/>
      <c r="S74" s="68"/>
      <c r="T74" s="68"/>
      <c r="U74" s="72"/>
    </row>
  </sheetData>
  <mergeCells count="6">
    <mergeCell ref="T1:V1"/>
    <mergeCell ref="T2:U2"/>
    <mergeCell ref="E3:G3"/>
    <mergeCell ref="T3:U3"/>
    <mergeCell ref="A66:B67"/>
    <mergeCell ref="C66:D66"/>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7"/>
  <sheetViews>
    <sheetView topLeftCell="A4" zoomScale="80" zoomScaleNormal="80" workbookViewId="0">
      <pane ySplit="1" topLeftCell="A5" activePane="bottomLeft" state="frozen"/>
      <selection activeCell="A4" sqref="A4"/>
      <selection pane="bottomLeft" activeCell="A21" sqref="A21"/>
    </sheetView>
  </sheetViews>
  <sheetFormatPr defaultColWidth="17.44140625" defaultRowHeight="15.75" customHeight="1" x14ac:dyDescent="0.3"/>
  <cols>
    <col min="1" max="1" width="12.44140625" style="2" customWidth="1"/>
    <col min="2" max="2" width="27.44140625" style="2" customWidth="1"/>
    <col min="3" max="3" width="11.44140625" style="2" bestFit="1" customWidth="1"/>
    <col min="4" max="4" width="20" style="2" bestFit="1" customWidth="1"/>
    <col min="5" max="5" width="11.5546875" style="2" bestFit="1" customWidth="1"/>
    <col min="6" max="7" width="13.5546875" style="2" bestFit="1" customWidth="1"/>
    <col min="8" max="8" width="14.44140625" style="2" bestFit="1" customWidth="1"/>
    <col min="9" max="9" width="17.44140625" style="2" bestFit="1" customWidth="1"/>
    <col min="10" max="10" width="19.5546875" style="3" bestFit="1" customWidth="1"/>
    <col min="11" max="11" width="16.44140625" style="2" bestFit="1" customWidth="1"/>
    <col min="12" max="12" width="18" style="2" customWidth="1"/>
    <col min="13" max="13" width="22.109375" style="2" customWidth="1"/>
    <col min="14" max="14" width="11.5546875" style="2" bestFit="1" customWidth="1"/>
    <col min="15" max="15" width="11.44140625" style="3" bestFit="1" customWidth="1"/>
    <col min="16" max="17" width="7.88671875" style="3" bestFit="1" customWidth="1"/>
    <col min="18" max="18" width="14.5546875" style="3" bestFit="1" customWidth="1"/>
    <col min="19" max="19" width="20.5546875" style="3" bestFit="1" customWidth="1"/>
    <col min="20" max="20" width="21.33203125" style="2" bestFit="1" customWidth="1"/>
    <col min="21" max="21" width="12.33203125" style="2" bestFit="1" customWidth="1"/>
    <col min="22" max="22" width="17.6640625" style="2" bestFit="1" customWidth="1"/>
    <col min="23" max="16384" width="17.44140625" style="2"/>
  </cols>
  <sheetData>
    <row r="1" spans="1:23" ht="14.4" x14ac:dyDescent="0.3">
      <c r="A1" s="5"/>
      <c r="B1" s="6"/>
      <c r="C1" s="7"/>
      <c r="D1" s="8"/>
      <c r="E1" s="9"/>
      <c r="F1" s="10"/>
      <c r="G1" s="11"/>
      <c r="H1" s="12"/>
      <c r="I1" s="11"/>
      <c r="J1" s="822"/>
      <c r="K1" s="10"/>
      <c r="L1" s="14"/>
      <c r="M1" s="15"/>
      <c r="N1" s="11"/>
      <c r="O1" s="847"/>
      <c r="P1" s="347"/>
      <c r="Q1" s="347"/>
      <c r="R1" s="347"/>
      <c r="S1" s="769"/>
      <c r="T1" s="938" t="s">
        <v>9</v>
      </c>
      <c r="U1" s="939"/>
      <c r="V1" s="940"/>
      <c r="W1" s="19"/>
    </row>
    <row r="2" spans="1:23" ht="14.4" x14ac:dyDescent="0.3">
      <c r="A2" s="20"/>
      <c r="B2" s="21"/>
      <c r="C2" s="22"/>
      <c r="D2" s="23"/>
      <c r="E2" s="808"/>
      <c r="F2" s="809"/>
      <c r="G2" s="24"/>
      <c r="H2" s="25"/>
      <c r="I2" s="24"/>
      <c r="J2" s="97"/>
      <c r="K2" s="27"/>
      <c r="L2" s="28"/>
      <c r="M2" s="29"/>
      <c r="N2" s="26"/>
      <c r="O2" s="848"/>
      <c r="S2" s="715"/>
      <c r="T2" s="941" t="s">
        <v>10</v>
      </c>
      <c r="U2" s="942"/>
      <c r="V2" s="810"/>
      <c r="W2" s="30"/>
    </row>
    <row r="3" spans="1:23" ht="14.4" x14ac:dyDescent="0.3">
      <c r="A3" s="20"/>
      <c r="B3" s="21"/>
      <c r="C3" s="22"/>
      <c r="D3" s="31"/>
      <c r="E3" s="927" t="s">
        <v>11</v>
      </c>
      <c r="F3" s="928"/>
      <c r="G3" s="929"/>
      <c r="H3" s="32"/>
      <c r="I3" s="809"/>
      <c r="J3" s="97"/>
      <c r="K3" s="809"/>
      <c r="L3" s="33"/>
      <c r="M3" s="34"/>
      <c r="N3" s="26"/>
      <c r="O3" s="849"/>
      <c r="P3" s="97"/>
      <c r="Q3" s="97"/>
      <c r="R3" s="864"/>
      <c r="S3" s="770"/>
      <c r="T3" s="930" t="s">
        <v>12</v>
      </c>
      <c r="U3" s="931"/>
      <c r="V3" s="810"/>
      <c r="W3" s="38"/>
    </row>
    <row r="4" spans="1:23" s="52" customFormat="1" ht="39.6" x14ac:dyDescent="0.3">
      <c r="A4" s="39" t="s">
        <v>13</v>
      </c>
      <c r="B4" s="40" t="s">
        <v>14</v>
      </c>
      <c r="C4" s="41" t="s">
        <v>15</v>
      </c>
      <c r="D4" s="42" t="s">
        <v>16</v>
      </c>
      <c r="E4" s="43" t="s">
        <v>17</v>
      </c>
      <c r="F4" s="40" t="s">
        <v>18</v>
      </c>
      <c r="G4" s="44" t="s">
        <v>19</v>
      </c>
      <c r="H4" s="45" t="s">
        <v>20</v>
      </c>
      <c r="I4" s="44" t="s">
        <v>21</v>
      </c>
      <c r="J4" s="98" t="s">
        <v>22</v>
      </c>
      <c r="K4" s="40" t="s">
        <v>23</v>
      </c>
      <c r="L4" s="46" t="s">
        <v>24</v>
      </c>
      <c r="M4" s="46" t="s">
        <v>25</v>
      </c>
      <c r="N4" s="44" t="s">
        <v>26</v>
      </c>
      <c r="O4" s="850" t="s">
        <v>27</v>
      </c>
      <c r="P4" s="98" t="s">
        <v>28</v>
      </c>
      <c r="Q4" s="98" t="s">
        <v>29</v>
      </c>
      <c r="R4" s="865" t="s">
        <v>7</v>
      </c>
      <c r="S4" s="771" t="s">
        <v>8</v>
      </c>
      <c r="T4" s="50" t="s">
        <v>30</v>
      </c>
      <c r="U4" s="50" t="s">
        <v>31</v>
      </c>
      <c r="V4" s="51" t="s">
        <v>2</v>
      </c>
      <c r="W4" s="41" t="s">
        <v>32</v>
      </c>
    </row>
    <row r="5" spans="1:23" ht="15" thickBot="1" x14ac:dyDescent="0.35">
      <c r="A5" s="53" t="s">
        <v>33</v>
      </c>
      <c r="B5" s="54"/>
      <c r="C5" s="55"/>
      <c r="D5" s="56"/>
      <c r="E5" s="57" t="s">
        <v>34</v>
      </c>
      <c r="F5" s="57" t="s">
        <v>34</v>
      </c>
      <c r="G5" s="133" t="s">
        <v>34</v>
      </c>
      <c r="H5" s="134" t="s">
        <v>34</v>
      </c>
      <c r="I5" s="57" t="s">
        <v>34</v>
      </c>
      <c r="J5" s="65" t="s">
        <v>34</v>
      </c>
      <c r="K5" s="58" t="s">
        <v>35</v>
      </c>
      <c r="L5" s="135" t="s">
        <v>34</v>
      </c>
      <c r="M5" s="60" t="s">
        <v>34</v>
      </c>
      <c r="N5" s="60" t="s">
        <v>35</v>
      </c>
      <c r="O5" s="851" t="s">
        <v>36</v>
      </c>
      <c r="P5" s="348" t="s">
        <v>36</v>
      </c>
      <c r="Q5" s="348" t="s">
        <v>36</v>
      </c>
      <c r="R5" s="866" t="s">
        <v>36</v>
      </c>
      <c r="S5" s="772" t="s">
        <v>36</v>
      </c>
      <c r="T5" s="65" t="s">
        <v>34</v>
      </c>
      <c r="U5" s="65" t="s">
        <v>34</v>
      </c>
      <c r="V5" s="66" t="s">
        <v>34</v>
      </c>
      <c r="W5" s="67"/>
    </row>
    <row r="6" spans="1:23" s="190" customFormat="1" ht="16.8" x14ac:dyDescent="0.4">
      <c r="A6" s="187">
        <v>44304</v>
      </c>
      <c r="B6" s="188" t="s">
        <v>75</v>
      </c>
      <c r="C6" s="192" t="s">
        <v>76</v>
      </c>
      <c r="D6" s="191" t="s">
        <v>52</v>
      </c>
      <c r="E6" s="189">
        <v>12.2</v>
      </c>
      <c r="F6" s="189">
        <v>-0.66</v>
      </c>
      <c r="G6" s="193">
        <v>12.86</v>
      </c>
      <c r="H6" s="194"/>
      <c r="I6" s="188"/>
      <c r="J6" s="189">
        <v>5.0599999999999996</v>
      </c>
      <c r="K6" s="192">
        <v>0.43</v>
      </c>
      <c r="L6" s="196">
        <v>7.8</v>
      </c>
      <c r="M6" s="188"/>
      <c r="N6" s="195"/>
      <c r="O6" s="189"/>
      <c r="P6" s="189">
        <v>2.1757999999999997</v>
      </c>
      <c r="Q6" s="189"/>
      <c r="R6" s="275"/>
      <c r="S6" s="276"/>
      <c r="T6" s="793"/>
      <c r="U6" s="793"/>
      <c r="V6" s="788"/>
    </row>
    <row r="7" spans="1:23" s="190" customFormat="1" ht="16.8" x14ac:dyDescent="0.4">
      <c r="A7" s="187">
        <v>44438</v>
      </c>
      <c r="B7" s="188" t="s">
        <v>80</v>
      </c>
      <c r="C7" s="192" t="s">
        <v>76</v>
      </c>
      <c r="D7" s="191" t="s">
        <v>59</v>
      </c>
      <c r="E7" s="189">
        <v>13.2</v>
      </c>
      <c r="F7" s="189">
        <v>4.18</v>
      </c>
      <c r="G7" s="193">
        <v>9.02</v>
      </c>
      <c r="H7" s="246">
        <v>-3.84</v>
      </c>
      <c r="I7" s="189">
        <v>1.2199999999999998</v>
      </c>
      <c r="J7" s="189">
        <v>1.405</v>
      </c>
      <c r="K7" s="192">
        <v>0.6</v>
      </c>
      <c r="L7" s="191"/>
      <c r="M7" s="188"/>
      <c r="N7" s="195"/>
      <c r="O7" s="189">
        <v>-1.3327999999999998</v>
      </c>
      <c r="P7" s="189"/>
      <c r="Q7" s="189">
        <v>0.84299999999999997</v>
      </c>
      <c r="R7" s="275"/>
      <c r="S7" s="276"/>
      <c r="T7" s="793"/>
      <c r="U7" s="793"/>
      <c r="V7" s="788"/>
    </row>
    <row r="8" spans="1:23" s="190" customFormat="1" ht="16.8" x14ac:dyDescent="0.4">
      <c r="A8" s="187">
        <v>44446</v>
      </c>
      <c r="B8" s="188" t="s">
        <v>75</v>
      </c>
      <c r="C8" s="192" t="s">
        <v>76</v>
      </c>
      <c r="D8" s="191" t="s">
        <v>59</v>
      </c>
      <c r="E8" s="189">
        <v>13.2</v>
      </c>
      <c r="F8" s="189">
        <v>4.4699999999999989</v>
      </c>
      <c r="G8" s="193">
        <v>8.73</v>
      </c>
      <c r="H8" s="246">
        <v>-0.28999999999999915</v>
      </c>
      <c r="I8" s="189"/>
      <c r="J8" s="189">
        <v>1.1150000000000009</v>
      </c>
      <c r="K8" s="192">
        <v>0.6</v>
      </c>
      <c r="L8" s="191"/>
      <c r="M8" s="188"/>
      <c r="N8" s="195"/>
      <c r="O8" s="189">
        <v>-1.5067999999999993</v>
      </c>
      <c r="P8" s="189"/>
      <c r="Q8" s="189">
        <v>0.66900000000000048</v>
      </c>
      <c r="R8" s="275"/>
      <c r="S8" s="276">
        <v>0</v>
      </c>
      <c r="T8" s="793"/>
      <c r="U8" s="793"/>
      <c r="V8" s="788"/>
    </row>
    <row r="9" spans="1:23" s="190" customFormat="1" ht="16.8" x14ac:dyDescent="0.4">
      <c r="A9" s="187">
        <v>44509</v>
      </c>
      <c r="B9" s="188" t="s">
        <v>75</v>
      </c>
      <c r="C9" s="192" t="s">
        <v>76</v>
      </c>
      <c r="D9" s="191" t="s">
        <v>52</v>
      </c>
      <c r="E9" s="189">
        <v>15.78</v>
      </c>
      <c r="F9" s="189">
        <v>3.5</v>
      </c>
      <c r="G9" s="193">
        <v>12.28</v>
      </c>
      <c r="H9" s="246">
        <v>3.5499999999999989</v>
      </c>
      <c r="I9" s="189">
        <v>3.58</v>
      </c>
      <c r="J9" s="189"/>
      <c r="K9" s="192"/>
      <c r="L9" s="196">
        <v>8.6999999999999993</v>
      </c>
      <c r="M9" s="188"/>
      <c r="N9" s="195"/>
      <c r="O9" s="189"/>
      <c r="P9" s="189"/>
      <c r="Q9" s="189"/>
      <c r="R9" s="275">
        <v>-1.8000000000000682E-2</v>
      </c>
      <c r="S9" s="276"/>
      <c r="T9" s="793"/>
      <c r="U9" s="793"/>
      <c r="V9" s="788"/>
    </row>
    <row r="10" spans="1:23" s="190" customFormat="1" ht="16.8" x14ac:dyDescent="0.4">
      <c r="A10" s="187">
        <v>44592</v>
      </c>
      <c r="B10" s="188" t="s">
        <v>79</v>
      </c>
      <c r="C10" s="192" t="s">
        <v>76</v>
      </c>
      <c r="D10" s="191" t="s">
        <v>52</v>
      </c>
      <c r="E10" s="189">
        <v>15.78</v>
      </c>
      <c r="F10" s="189">
        <v>2.37</v>
      </c>
      <c r="G10" s="193">
        <v>13.41</v>
      </c>
      <c r="H10" s="246"/>
      <c r="I10" s="189"/>
      <c r="J10" s="189"/>
      <c r="K10" s="192"/>
      <c r="L10" s="196"/>
      <c r="M10" s="188"/>
      <c r="N10" s="195"/>
      <c r="O10" s="189"/>
      <c r="P10" s="189"/>
      <c r="Q10" s="189"/>
      <c r="R10" s="275"/>
      <c r="S10" s="276"/>
      <c r="T10" s="793"/>
      <c r="U10" s="793"/>
      <c r="V10" s="788"/>
    </row>
    <row r="11" spans="1:23" s="190" customFormat="1" ht="16.8" x14ac:dyDescent="0.4">
      <c r="A11" s="187">
        <v>44592</v>
      </c>
      <c r="B11" s="188" t="s">
        <v>79</v>
      </c>
      <c r="C11" s="192" t="s">
        <v>76</v>
      </c>
      <c r="D11" s="191" t="s">
        <v>52</v>
      </c>
      <c r="E11" s="189">
        <v>17.43</v>
      </c>
      <c r="F11" s="189">
        <v>4.0199999999999996</v>
      </c>
      <c r="G11" s="193">
        <v>13.41</v>
      </c>
      <c r="H11" s="246">
        <v>4.68</v>
      </c>
      <c r="I11" s="189"/>
      <c r="J11" s="189"/>
      <c r="K11" s="192"/>
      <c r="L11" s="196"/>
      <c r="M11" s="188"/>
      <c r="N11" s="195"/>
      <c r="O11" s="189"/>
      <c r="P11" s="189"/>
      <c r="Q11" s="189"/>
      <c r="R11" s="275"/>
      <c r="S11" s="276"/>
      <c r="T11" s="793"/>
      <c r="U11" s="793"/>
      <c r="V11" s="788"/>
    </row>
    <row r="12" spans="1:23" s="190" customFormat="1" ht="16.8" x14ac:dyDescent="0.4">
      <c r="A12" s="187">
        <v>44677</v>
      </c>
      <c r="B12" s="188" t="s">
        <v>81</v>
      </c>
      <c r="C12" s="192" t="s">
        <v>76</v>
      </c>
      <c r="D12" s="191" t="s">
        <v>52</v>
      </c>
      <c r="E12" s="189">
        <v>17.43</v>
      </c>
      <c r="F12" s="189">
        <v>1.52</v>
      </c>
      <c r="G12" s="193">
        <v>15.91</v>
      </c>
      <c r="H12" s="246"/>
      <c r="I12" s="189"/>
      <c r="J12" s="189"/>
      <c r="K12" s="192"/>
      <c r="L12" s="196"/>
      <c r="M12" s="188"/>
      <c r="N12" s="195"/>
      <c r="O12" s="189"/>
      <c r="P12" s="189"/>
      <c r="Q12" s="189"/>
      <c r="R12" s="275"/>
      <c r="S12" s="276"/>
      <c r="T12" s="793"/>
      <c r="U12" s="793"/>
      <c r="V12" s="788"/>
    </row>
    <row r="13" spans="1:23" s="190" customFormat="1" ht="16.8" x14ac:dyDescent="0.4">
      <c r="A13" s="187">
        <v>44678</v>
      </c>
      <c r="B13" s="188" t="s">
        <v>82</v>
      </c>
      <c r="C13" s="192" t="s">
        <v>76</v>
      </c>
      <c r="D13" s="191" t="s">
        <v>52</v>
      </c>
      <c r="E13" s="189">
        <v>16.25</v>
      </c>
      <c r="F13" s="189">
        <v>0.59</v>
      </c>
      <c r="G13" s="193">
        <v>15.66</v>
      </c>
      <c r="H13" s="194"/>
      <c r="I13" s="188">
        <v>6.27</v>
      </c>
      <c r="J13" s="189">
        <v>6.27</v>
      </c>
      <c r="K13" s="274">
        <v>0.44</v>
      </c>
      <c r="L13" s="196">
        <v>9.39</v>
      </c>
      <c r="M13" s="188"/>
      <c r="N13" s="195"/>
      <c r="O13" s="189"/>
      <c r="P13" s="189"/>
      <c r="Q13" s="189"/>
      <c r="R13" s="275">
        <v>0.39600000000000007</v>
      </c>
      <c r="S13" s="276"/>
      <c r="T13" s="793"/>
      <c r="U13" s="793"/>
      <c r="V13" s="788"/>
    </row>
    <row r="14" spans="1:23" s="190" customFormat="1" ht="16.8" x14ac:dyDescent="0.4">
      <c r="A14" s="187">
        <v>44820</v>
      </c>
      <c r="B14" s="188" t="s">
        <v>88</v>
      </c>
      <c r="C14" s="192" t="s">
        <v>76</v>
      </c>
      <c r="D14" s="192" t="s">
        <v>52</v>
      </c>
      <c r="E14" s="189">
        <v>13.86</v>
      </c>
      <c r="F14" s="189">
        <v>3.95</v>
      </c>
      <c r="G14" s="193">
        <v>9.91</v>
      </c>
      <c r="H14" s="246">
        <v>0.45999999999999908</v>
      </c>
      <c r="I14" s="188"/>
      <c r="J14" s="189">
        <v>0.72</v>
      </c>
      <c r="K14" s="274">
        <v>0.53238686779059452</v>
      </c>
      <c r="L14" s="196">
        <v>9.19</v>
      </c>
      <c r="M14" s="188"/>
      <c r="N14" s="195"/>
      <c r="O14" s="189"/>
      <c r="P14" s="189"/>
      <c r="Q14" s="189"/>
      <c r="R14" s="275"/>
      <c r="S14" s="276"/>
      <c r="T14" s="793"/>
      <c r="U14" s="793"/>
      <c r="V14" s="788"/>
    </row>
    <row r="15" spans="1:23" s="190" customFormat="1" ht="16.8" x14ac:dyDescent="0.4">
      <c r="A15" s="187">
        <v>44911</v>
      </c>
      <c r="B15" s="188" t="s">
        <v>90</v>
      </c>
      <c r="C15" s="192" t="s">
        <v>76</v>
      </c>
      <c r="D15" s="192" t="s">
        <v>89</v>
      </c>
      <c r="E15" s="189">
        <v>13.86</v>
      </c>
      <c r="F15" s="189">
        <v>2.6799999999999997</v>
      </c>
      <c r="G15" s="193">
        <v>11.18</v>
      </c>
      <c r="H15" s="246">
        <v>1.2699999999999996</v>
      </c>
      <c r="I15" s="188"/>
      <c r="J15" s="189"/>
      <c r="K15" s="274"/>
      <c r="L15" s="196"/>
      <c r="M15" s="188"/>
      <c r="N15" s="195"/>
      <c r="O15" s="189"/>
      <c r="P15" s="189"/>
      <c r="Q15" s="189"/>
      <c r="R15" s="275"/>
      <c r="S15" s="276"/>
      <c r="T15" s="793"/>
      <c r="U15" s="793"/>
      <c r="V15" s="788"/>
    </row>
    <row r="16" spans="1:23" s="190" customFormat="1" ht="16.8" x14ac:dyDescent="0.4">
      <c r="A16" s="187">
        <v>44911</v>
      </c>
      <c r="B16" s="188" t="s">
        <v>88</v>
      </c>
      <c r="C16" s="192" t="s">
        <v>76</v>
      </c>
      <c r="D16" s="192" t="s">
        <v>89</v>
      </c>
      <c r="E16" s="189">
        <v>15.26</v>
      </c>
      <c r="F16" s="189">
        <v>4.08</v>
      </c>
      <c r="G16" s="193">
        <v>11.18</v>
      </c>
      <c r="H16" s="246"/>
      <c r="I16" s="188"/>
      <c r="J16" s="189"/>
      <c r="K16" s="274"/>
      <c r="L16" s="196"/>
      <c r="M16" s="188"/>
      <c r="N16" s="195"/>
      <c r="O16" s="189"/>
      <c r="P16" s="189"/>
      <c r="Q16" s="189"/>
      <c r="R16" s="275"/>
      <c r="S16" s="276"/>
      <c r="T16" s="794"/>
      <c r="U16" s="794"/>
      <c r="V16" s="789"/>
    </row>
    <row r="17" spans="1:23" s="190" customFormat="1" ht="16.8" x14ac:dyDescent="0.4">
      <c r="A17" s="187">
        <v>45051</v>
      </c>
      <c r="B17" s="188" t="s">
        <v>91</v>
      </c>
      <c r="C17" s="192" t="s">
        <v>76</v>
      </c>
      <c r="D17" s="192" t="s">
        <v>89</v>
      </c>
      <c r="E17" s="189">
        <v>15.26</v>
      </c>
      <c r="F17" s="189">
        <v>0.18</v>
      </c>
      <c r="G17" s="193">
        <v>15.08</v>
      </c>
      <c r="H17" s="246">
        <v>5.17</v>
      </c>
      <c r="I17" s="188">
        <v>4.55</v>
      </c>
      <c r="J17" s="189"/>
      <c r="K17" s="274">
        <v>0.41</v>
      </c>
      <c r="L17" s="196">
        <v>10.530000000000001</v>
      </c>
      <c r="M17" s="188"/>
      <c r="N17" s="195"/>
      <c r="O17" s="189"/>
      <c r="P17" s="189">
        <v>1.8654999999999997</v>
      </c>
      <c r="Q17" s="189"/>
      <c r="R17" s="275">
        <v>0.55800000000000094</v>
      </c>
      <c r="S17" s="276"/>
      <c r="T17" s="794">
        <v>394252.69500000001</v>
      </c>
      <c r="U17" s="794">
        <v>6699703.5190000003</v>
      </c>
      <c r="V17" s="789">
        <v>1293.104</v>
      </c>
    </row>
    <row r="18" spans="1:23" s="190" customFormat="1" ht="16.8" x14ac:dyDescent="0.4">
      <c r="A18" s="187">
        <v>45174</v>
      </c>
      <c r="B18" s="188" t="s">
        <v>99</v>
      </c>
      <c r="C18" s="192" t="s">
        <v>76</v>
      </c>
      <c r="D18" s="192" t="s">
        <v>59</v>
      </c>
      <c r="E18" s="189">
        <v>12.2</v>
      </c>
      <c r="F18" s="189">
        <v>2.09</v>
      </c>
      <c r="G18" s="193">
        <v>10.11</v>
      </c>
      <c r="H18" s="246">
        <v>-0.16999999999999993</v>
      </c>
      <c r="I18" s="188"/>
      <c r="J18" s="189">
        <v>0.37</v>
      </c>
      <c r="K18" s="274">
        <v>0.56000000000000005</v>
      </c>
      <c r="L18" s="196">
        <v>9.74</v>
      </c>
      <c r="M18" s="188"/>
      <c r="N18" s="195"/>
      <c r="O18" s="189"/>
      <c r="P18" s="189"/>
      <c r="Q18" s="189"/>
      <c r="R18" s="275">
        <v>-9.0505767524401037E-2</v>
      </c>
      <c r="S18" s="276"/>
      <c r="T18" s="794"/>
      <c r="U18" s="794"/>
      <c r="V18" s="789"/>
    </row>
    <row r="19" spans="1:23" s="190" customFormat="1" ht="16.8" x14ac:dyDescent="0.4">
      <c r="A19" s="187">
        <v>45174</v>
      </c>
      <c r="B19" s="188" t="s">
        <v>99</v>
      </c>
      <c r="C19" s="192" t="s">
        <v>76</v>
      </c>
      <c r="D19" s="192" t="s">
        <v>59</v>
      </c>
      <c r="E19" s="189">
        <v>13.86</v>
      </c>
      <c r="F19" s="189">
        <v>3.75</v>
      </c>
      <c r="G19" s="193">
        <v>10.11</v>
      </c>
      <c r="H19" s="194"/>
      <c r="I19" s="188"/>
      <c r="J19" s="189"/>
      <c r="K19" s="274"/>
      <c r="L19" s="196"/>
      <c r="M19" s="188"/>
      <c r="N19" s="195"/>
      <c r="O19" s="189"/>
      <c r="P19" s="189"/>
      <c r="Q19" s="189"/>
      <c r="R19" s="275"/>
      <c r="S19" s="276"/>
      <c r="T19" s="794"/>
      <c r="U19" s="794"/>
      <c r="V19" s="789"/>
    </row>
    <row r="20" spans="1:23" s="190" customFormat="1" ht="16.8" x14ac:dyDescent="0.4">
      <c r="A20" s="187">
        <v>45551</v>
      </c>
      <c r="B20" s="188" t="s">
        <v>186</v>
      </c>
      <c r="C20" s="192" t="s">
        <v>76</v>
      </c>
      <c r="D20" s="192" t="s">
        <v>59</v>
      </c>
      <c r="E20" s="189">
        <v>12.2</v>
      </c>
      <c r="F20" s="189">
        <v>0.84</v>
      </c>
      <c r="G20" s="193">
        <v>11.36</v>
      </c>
      <c r="H20" s="194"/>
      <c r="I20" s="188"/>
      <c r="J20" s="189"/>
      <c r="K20" s="274"/>
      <c r="L20" s="196"/>
      <c r="M20" s="188"/>
      <c r="N20" s="195"/>
      <c r="O20" s="189"/>
      <c r="P20" s="189"/>
      <c r="Q20" s="189"/>
      <c r="R20" s="275"/>
      <c r="S20" s="276"/>
      <c r="T20" s="794"/>
      <c r="U20" s="794"/>
      <c r="V20" s="789"/>
    </row>
    <row r="21" spans="1:23" s="190" customFormat="1" ht="16.8" x14ac:dyDescent="0.4">
      <c r="A21" s="187">
        <v>45551</v>
      </c>
      <c r="B21" s="188" t="s">
        <v>186</v>
      </c>
      <c r="C21" s="192" t="s">
        <v>76</v>
      </c>
      <c r="D21" s="192" t="s">
        <v>59</v>
      </c>
      <c r="E21" s="189">
        <v>13.86</v>
      </c>
      <c r="F21" s="189">
        <v>2.5</v>
      </c>
      <c r="G21" s="193">
        <v>11.36</v>
      </c>
      <c r="H21" s="194"/>
      <c r="I21" s="188"/>
      <c r="J21" s="189">
        <v>0.94</v>
      </c>
      <c r="K21" s="274">
        <v>0.61025490627237333</v>
      </c>
      <c r="L21" s="196">
        <v>10.42</v>
      </c>
      <c r="M21" s="189"/>
      <c r="N21" s="195"/>
      <c r="O21" s="189"/>
      <c r="P21" s="189"/>
      <c r="Q21" s="189"/>
      <c r="R21" s="275">
        <v>0.17360000000000028</v>
      </c>
      <c r="S21" s="276"/>
      <c r="T21" s="794"/>
      <c r="U21" s="794"/>
      <c r="V21" s="789"/>
    </row>
    <row r="22" spans="1:23" s="190" customFormat="1" ht="16.8" x14ac:dyDescent="0.4">
      <c r="A22" s="187">
        <v>45785</v>
      </c>
      <c r="B22" s="188" t="s">
        <v>200</v>
      </c>
      <c r="C22" s="192" t="s">
        <v>76</v>
      </c>
      <c r="D22" s="192" t="s">
        <v>52</v>
      </c>
      <c r="E22" s="189" t="s">
        <v>61</v>
      </c>
      <c r="F22" s="189"/>
      <c r="G22" s="193"/>
      <c r="H22" s="194"/>
      <c r="I22" s="188"/>
      <c r="J22" s="189"/>
      <c r="K22" s="274"/>
      <c r="L22" s="196"/>
      <c r="M22" s="189"/>
      <c r="N22" s="195"/>
      <c r="O22" s="189"/>
      <c r="P22" s="189"/>
      <c r="Q22" s="189"/>
      <c r="R22" s="275"/>
      <c r="S22" s="276"/>
      <c r="T22" s="794"/>
      <c r="U22" s="794"/>
      <c r="V22" s="789"/>
    </row>
    <row r="23" spans="1:23" ht="16.8" x14ac:dyDescent="0.4">
      <c r="A23" s="70"/>
      <c r="B23" s="70"/>
      <c r="C23" s="213"/>
      <c r="D23" s="213"/>
      <c r="E23" s="71"/>
      <c r="F23" s="71"/>
      <c r="G23" s="206"/>
      <c r="H23" s="209"/>
      <c r="I23" s="70"/>
      <c r="J23" s="71"/>
      <c r="K23" s="213"/>
      <c r="L23" s="215"/>
      <c r="M23" s="70"/>
      <c r="N23" s="206"/>
      <c r="O23" s="71"/>
      <c r="P23" s="71"/>
      <c r="Q23" s="71"/>
      <c r="R23" s="102"/>
      <c r="S23" s="300"/>
      <c r="T23" s="781"/>
      <c r="U23" s="781"/>
      <c r="V23" s="785"/>
    </row>
    <row r="24" spans="1:23" ht="16.8" x14ac:dyDescent="0.4">
      <c r="A24" s="272">
        <v>44678</v>
      </c>
      <c r="B24" s="270" t="s">
        <v>81</v>
      </c>
      <c r="C24" s="307" t="s">
        <v>85</v>
      </c>
      <c r="D24" s="307" t="s">
        <v>52</v>
      </c>
      <c r="E24" s="271">
        <v>12.2</v>
      </c>
      <c r="F24" s="271">
        <v>0.69</v>
      </c>
      <c r="G24" s="310">
        <v>11.51</v>
      </c>
      <c r="H24" s="311"/>
      <c r="I24" s="270">
        <v>6.27</v>
      </c>
      <c r="J24" s="271">
        <v>6.27</v>
      </c>
      <c r="K24" s="306">
        <v>0.44</v>
      </c>
      <c r="L24" s="308">
        <v>5.24</v>
      </c>
      <c r="M24" s="270"/>
      <c r="N24" s="110"/>
      <c r="O24" s="271"/>
      <c r="P24" s="271">
        <v>2.7587999999999999</v>
      </c>
      <c r="Q24" s="271"/>
      <c r="R24" s="273"/>
      <c r="S24" s="312"/>
      <c r="T24" s="795"/>
      <c r="U24" s="795"/>
      <c r="V24" s="790"/>
      <c r="W24" s="205"/>
    </row>
    <row r="25" spans="1:23" ht="16.8" x14ac:dyDescent="0.4">
      <c r="A25" s="272">
        <v>44820</v>
      </c>
      <c r="B25" s="270" t="s">
        <v>81</v>
      </c>
      <c r="C25" s="307" t="s">
        <v>85</v>
      </c>
      <c r="D25" s="307" t="s">
        <v>52</v>
      </c>
      <c r="E25" s="271">
        <v>9.15</v>
      </c>
      <c r="F25" s="271">
        <v>3.05</v>
      </c>
      <c r="G25" s="310">
        <v>6.1</v>
      </c>
      <c r="H25" s="311"/>
      <c r="I25" s="270"/>
      <c r="J25" s="271">
        <v>0.72</v>
      </c>
      <c r="K25" s="306">
        <v>0.53</v>
      </c>
      <c r="L25" s="308">
        <v>5.38</v>
      </c>
      <c r="M25" s="270"/>
      <c r="N25" s="110"/>
      <c r="O25" s="271">
        <v>-2.3771999999999998</v>
      </c>
      <c r="P25" s="271"/>
      <c r="Q25" s="271">
        <v>0.38159999999999999</v>
      </c>
      <c r="R25" s="273"/>
      <c r="S25" s="312">
        <v>0</v>
      </c>
      <c r="T25" s="795"/>
      <c r="U25" s="795"/>
      <c r="V25" s="790"/>
      <c r="W25" s="205"/>
    </row>
    <row r="26" spans="1:23" ht="16.8" x14ac:dyDescent="0.4">
      <c r="A26" s="272">
        <v>44820</v>
      </c>
      <c r="B26" s="270" t="s">
        <v>81</v>
      </c>
      <c r="C26" s="307" t="s">
        <v>85</v>
      </c>
      <c r="D26" s="307" t="s">
        <v>52</v>
      </c>
      <c r="E26" s="271">
        <v>10.55</v>
      </c>
      <c r="F26" s="271">
        <v>4.4500000000000011</v>
      </c>
      <c r="G26" s="310">
        <v>6.1</v>
      </c>
      <c r="H26" s="311"/>
      <c r="I26" s="270"/>
      <c r="J26" s="271"/>
      <c r="K26" s="307"/>
      <c r="L26" s="309"/>
      <c r="M26" s="270"/>
      <c r="N26" s="110"/>
      <c r="O26" s="271"/>
      <c r="P26" s="271"/>
      <c r="Q26" s="271"/>
      <c r="R26" s="273"/>
      <c r="S26" s="312"/>
      <c r="T26" s="795"/>
      <c r="U26" s="795"/>
      <c r="V26" s="790"/>
      <c r="W26" s="205"/>
    </row>
    <row r="27" spans="1:23" ht="16.8" x14ac:dyDescent="0.4">
      <c r="A27" s="272">
        <v>44911</v>
      </c>
      <c r="B27" s="270" t="s">
        <v>88</v>
      </c>
      <c r="C27" s="307" t="s">
        <v>85</v>
      </c>
      <c r="D27" s="307" t="s">
        <v>89</v>
      </c>
      <c r="E27" s="271">
        <v>10.55</v>
      </c>
      <c r="F27" s="271">
        <v>3.07</v>
      </c>
      <c r="G27" s="310">
        <v>7.48</v>
      </c>
      <c r="H27" s="317">
        <v>1.3800000000000008</v>
      </c>
      <c r="I27" s="270"/>
      <c r="J27" s="271"/>
      <c r="K27" s="307"/>
      <c r="L27" s="309"/>
      <c r="M27" s="270"/>
      <c r="N27" s="110"/>
      <c r="O27" s="271"/>
      <c r="P27" s="271"/>
      <c r="Q27" s="271"/>
      <c r="R27" s="273"/>
      <c r="S27" s="312"/>
      <c r="T27" s="795"/>
      <c r="U27" s="795"/>
      <c r="V27" s="790"/>
      <c r="W27" s="205"/>
    </row>
    <row r="28" spans="1:23" ht="16.8" x14ac:dyDescent="0.4">
      <c r="A28" s="272">
        <v>44911</v>
      </c>
      <c r="B28" s="270" t="s">
        <v>88</v>
      </c>
      <c r="C28" s="307" t="s">
        <v>85</v>
      </c>
      <c r="D28" s="307" t="s">
        <v>89</v>
      </c>
      <c r="E28" s="271">
        <v>12</v>
      </c>
      <c r="F28" s="271">
        <v>4.5199999999999996</v>
      </c>
      <c r="G28" s="310">
        <v>7.48</v>
      </c>
      <c r="H28" s="311"/>
      <c r="I28" s="270"/>
      <c r="J28" s="271"/>
      <c r="K28" s="307"/>
      <c r="L28" s="309"/>
      <c r="M28" s="270"/>
      <c r="N28" s="110"/>
      <c r="O28" s="271"/>
      <c r="P28" s="271"/>
      <c r="Q28" s="271"/>
      <c r="R28" s="273"/>
      <c r="S28" s="312"/>
      <c r="T28" s="795"/>
      <c r="U28" s="795"/>
      <c r="V28" s="790"/>
      <c r="W28" s="205"/>
    </row>
    <row r="29" spans="1:23" ht="16.8" x14ac:dyDescent="0.4">
      <c r="A29" s="272">
        <v>45051</v>
      </c>
      <c r="B29" s="270" t="s">
        <v>91</v>
      </c>
      <c r="C29" s="307" t="s">
        <v>85</v>
      </c>
      <c r="D29" s="307" t="s">
        <v>89</v>
      </c>
      <c r="E29" s="271">
        <v>12</v>
      </c>
      <c r="F29" s="271">
        <v>0.23</v>
      </c>
      <c r="G29" s="310">
        <v>11.77</v>
      </c>
      <c r="H29" s="317">
        <v>5.67</v>
      </c>
      <c r="I29" s="270">
        <v>4.46</v>
      </c>
      <c r="J29" s="271"/>
      <c r="K29" s="306">
        <v>0.41</v>
      </c>
      <c r="L29" s="308">
        <v>7.31</v>
      </c>
      <c r="M29" s="270"/>
      <c r="N29" s="110"/>
      <c r="O29" s="271"/>
      <c r="P29" s="271">
        <v>1.8285999999999998</v>
      </c>
      <c r="Q29" s="271"/>
      <c r="R29" s="273">
        <v>1.089</v>
      </c>
      <c r="S29" s="312"/>
      <c r="T29" s="795">
        <v>394258.50300000003</v>
      </c>
      <c r="U29" s="795">
        <v>6699705.7419999996</v>
      </c>
      <c r="V29" s="790">
        <v>1293.4490000000001</v>
      </c>
      <c r="W29" s="205"/>
    </row>
    <row r="30" spans="1:23" ht="16.8" x14ac:dyDescent="0.4">
      <c r="A30" s="272">
        <v>45174</v>
      </c>
      <c r="B30" s="270" t="s">
        <v>93</v>
      </c>
      <c r="C30" s="307" t="s">
        <v>85</v>
      </c>
      <c r="D30" s="307" t="s">
        <v>59</v>
      </c>
      <c r="E30" s="271">
        <v>9.15</v>
      </c>
      <c r="F30" s="271">
        <v>2.5299999999999998</v>
      </c>
      <c r="G30" s="310">
        <v>6.620000000000001</v>
      </c>
      <c r="H30" s="317"/>
      <c r="I30" s="270"/>
      <c r="J30" s="271">
        <v>0.37</v>
      </c>
      <c r="K30" s="306">
        <v>0.56000000000000005</v>
      </c>
      <c r="L30" s="308">
        <v>6.2500000000000009</v>
      </c>
      <c r="M30" s="270"/>
      <c r="N30" s="110"/>
      <c r="O30" s="271"/>
      <c r="P30" s="271"/>
      <c r="Q30" s="271"/>
      <c r="R30" s="273"/>
      <c r="S30" s="312"/>
      <c r="T30" s="795"/>
      <c r="U30" s="795"/>
      <c r="V30" s="790"/>
      <c r="W30" s="205"/>
    </row>
    <row r="31" spans="1:23" ht="16.8" x14ac:dyDescent="0.4">
      <c r="A31" s="272">
        <v>45174</v>
      </c>
      <c r="B31" s="270" t="s">
        <v>93</v>
      </c>
      <c r="C31" s="307" t="s">
        <v>85</v>
      </c>
      <c r="D31" s="307" t="s">
        <v>59</v>
      </c>
      <c r="E31" s="271">
        <v>11.05</v>
      </c>
      <c r="F31" s="271">
        <v>4.4300000000000006</v>
      </c>
      <c r="G31" s="310">
        <v>6.62</v>
      </c>
      <c r="H31" s="317"/>
      <c r="I31" s="270"/>
      <c r="J31" s="271"/>
      <c r="K31" s="306"/>
      <c r="L31" s="308"/>
      <c r="M31" s="270"/>
      <c r="N31" s="110"/>
      <c r="O31" s="271"/>
      <c r="P31" s="271"/>
      <c r="Q31" s="271"/>
      <c r="R31" s="273"/>
      <c r="S31" s="312"/>
      <c r="T31" s="795"/>
      <c r="U31" s="795"/>
      <c r="V31" s="790"/>
      <c r="W31" s="205"/>
    </row>
    <row r="32" spans="1:23" ht="16.8" x14ac:dyDescent="0.4">
      <c r="A32" s="272">
        <v>45551</v>
      </c>
      <c r="B32" s="270" t="s">
        <v>186</v>
      </c>
      <c r="C32" s="307" t="s">
        <v>85</v>
      </c>
      <c r="D32" s="307" t="s">
        <v>59</v>
      </c>
      <c r="E32" s="271">
        <v>9.15</v>
      </c>
      <c r="F32" s="271">
        <v>1.06</v>
      </c>
      <c r="G32" s="310">
        <v>8.09</v>
      </c>
      <c r="H32" s="317"/>
      <c r="I32" s="270"/>
      <c r="J32" s="271">
        <v>0.94</v>
      </c>
      <c r="K32" s="306">
        <v>0.61025490627237333</v>
      </c>
      <c r="L32" s="308">
        <v>7.15</v>
      </c>
      <c r="M32" s="270"/>
      <c r="N32" s="110"/>
      <c r="O32" s="271"/>
      <c r="P32" s="271"/>
      <c r="Q32" s="271"/>
      <c r="R32" s="273">
        <v>0.29679999999999968</v>
      </c>
      <c r="S32" s="312"/>
      <c r="T32" s="795">
        <v>394252.06900000002</v>
      </c>
      <c r="U32" s="795">
        <v>6699670.3459999999</v>
      </c>
      <c r="V32" s="790">
        <v>1286.6199999999999</v>
      </c>
      <c r="W32" s="205"/>
    </row>
    <row r="33" spans="1:23" ht="16.8" x14ac:dyDescent="0.4">
      <c r="A33" s="272">
        <v>45785</v>
      </c>
      <c r="B33" s="270" t="s">
        <v>200</v>
      </c>
      <c r="C33" s="307" t="s">
        <v>85</v>
      </c>
      <c r="D33" s="307" t="s">
        <v>248</v>
      </c>
      <c r="E33" s="271" t="s">
        <v>61</v>
      </c>
      <c r="F33" s="271"/>
      <c r="G33" s="310"/>
      <c r="H33" s="317"/>
      <c r="I33" s="270"/>
      <c r="J33" s="271"/>
      <c r="K33" s="306"/>
      <c r="L33" s="308"/>
      <c r="M33" s="270"/>
      <c r="N33" s="110"/>
      <c r="O33" s="271"/>
      <c r="P33" s="271"/>
      <c r="Q33" s="271"/>
      <c r="R33" s="273"/>
      <c r="S33" s="312"/>
      <c r="T33" s="795"/>
      <c r="U33" s="795"/>
      <c r="V33" s="790"/>
      <c r="W33" s="205"/>
    </row>
    <row r="34" spans="1:23" ht="16.8" x14ac:dyDescent="0.4">
      <c r="A34" s="70"/>
      <c r="B34" s="70"/>
      <c r="C34" s="213"/>
      <c r="D34" s="213"/>
      <c r="E34" s="71"/>
      <c r="F34" s="71"/>
      <c r="G34" s="206"/>
      <c r="H34" s="209"/>
      <c r="I34" s="70"/>
      <c r="J34" s="71"/>
      <c r="K34" s="213"/>
      <c r="L34" s="215"/>
      <c r="M34" s="70"/>
      <c r="N34" s="206"/>
      <c r="O34" s="71"/>
      <c r="P34" s="71"/>
      <c r="Q34" s="71"/>
      <c r="R34" s="102"/>
      <c r="S34" s="300"/>
      <c r="T34" s="781"/>
      <c r="U34" s="781"/>
      <c r="V34" s="785"/>
    </row>
    <row r="35" spans="1:23" s="236" customFormat="1" ht="16.8" x14ac:dyDescent="0.4">
      <c r="A35" s="333">
        <v>45051</v>
      </c>
      <c r="B35" s="330" t="s">
        <v>99</v>
      </c>
      <c r="C35" s="334" t="s">
        <v>100</v>
      </c>
      <c r="D35" s="334" t="s">
        <v>52</v>
      </c>
      <c r="E35" s="331">
        <v>12.2</v>
      </c>
      <c r="F35" s="331">
        <v>0.91</v>
      </c>
      <c r="G35" s="339">
        <v>11.29</v>
      </c>
      <c r="H35" s="336"/>
      <c r="I35" s="330"/>
      <c r="J35" s="331">
        <v>4.47</v>
      </c>
      <c r="K35" s="340">
        <v>0.41</v>
      </c>
      <c r="L35" s="355">
        <v>6.8199999999999994</v>
      </c>
      <c r="M35" s="330"/>
      <c r="N35" s="335"/>
      <c r="O35" s="331"/>
      <c r="P35" s="331">
        <v>1.8326999999999998</v>
      </c>
      <c r="Q35" s="331"/>
      <c r="R35" s="714"/>
      <c r="S35" s="867"/>
      <c r="T35" s="782">
        <v>394239.58799999999</v>
      </c>
      <c r="U35" s="782">
        <v>6699756.9869999997</v>
      </c>
      <c r="V35" s="777">
        <v>1294.9190000000001</v>
      </c>
    </row>
    <row r="36" spans="1:23" s="236" customFormat="1" ht="16.8" x14ac:dyDescent="0.4">
      <c r="A36" s="333">
        <v>45174</v>
      </c>
      <c r="B36" s="330" t="s">
        <v>93</v>
      </c>
      <c r="C36" s="334" t="s">
        <v>100</v>
      </c>
      <c r="D36" s="334" t="s">
        <v>59</v>
      </c>
      <c r="E36" s="331">
        <v>9.15</v>
      </c>
      <c r="F36" s="331">
        <v>1.81</v>
      </c>
      <c r="G36" s="339">
        <v>7.34</v>
      </c>
      <c r="H36" s="336"/>
      <c r="I36" s="330"/>
      <c r="J36" s="331">
        <v>0.37</v>
      </c>
      <c r="K36" s="340">
        <v>0.56000000000000005</v>
      </c>
      <c r="L36" s="355">
        <v>6.97</v>
      </c>
      <c r="M36" s="330"/>
      <c r="N36" s="335"/>
      <c r="O36" s="331">
        <v>-1.6254999999999997</v>
      </c>
      <c r="P36" s="331"/>
      <c r="Q36" s="331">
        <v>0.20720000000000002</v>
      </c>
      <c r="R36" s="714"/>
      <c r="S36" s="867">
        <v>0</v>
      </c>
      <c r="T36" s="782"/>
      <c r="U36" s="782"/>
      <c r="V36" s="777"/>
    </row>
    <row r="37" spans="1:23" s="236" customFormat="1" ht="16.8" x14ac:dyDescent="0.4">
      <c r="A37" s="333">
        <v>45174</v>
      </c>
      <c r="B37" s="330" t="s">
        <v>93</v>
      </c>
      <c r="C37" s="334" t="s">
        <v>100</v>
      </c>
      <c r="D37" s="334" t="s">
        <v>59</v>
      </c>
      <c r="E37" s="331">
        <v>11.65</v>
      </c>
      <c r="F37" s="331">
        <v>4.3100000000000005</v>
      </c>
      <c r="G37" s="339">
        <v>7.34</v>
      </c>
      <c r="H37" s="336"/>
      <c r="I37" s="330"/>
      <c r="J37" s="331"/>
      <c r="K37" s="340"/>
      <c r="L37" s="337"/>
      <c r="M37" s="330"/>
      <c r="N37" s="335"/>
      <c r="O37" s="331"/>
      <c r="P37" s="331"/>
      <c r="Q37" s="331"/>
      <c r="R37" s="714"/>
      <c r="S37" s="867"/>
      <c r="T37" s="782"/>
      <c r="U37" s="782"/>
      <c r="V37" s="777"/>
    </row>
    <row r="38" spans="1:23" s="236" customFormat="1" ht="16.8" x14ac:dyDescent="0.4">
      <c r="A38" s="333">
        <v>45301</v>
      </c>
      <c r="B38" s="330" t="s">
        <v>103</v>
      </c>
      <c r="C38" s="334" t="s">
        <v>100</v>
      </c>
      <c r="D38" s="334" t="s">
        <v>52</v>
      </c>
      <c r="E38" s="331">
        <v>11.65</v>
      </c>
      <c r="F38" s="331">
        <v>0.18</v>
      </c>
      <c r="G38" s="339">
        <v>11.47</v>
      </c>
      <c r="H38" s="359">
        <v>4.1300000000000008</v>
      </c>
      <c r="I38" s="330"/>
      <c r="J38" s="331"/>
      <c r="K38" s="340"/>
      <c r="L38" s="337"/>
      <c r="M38" s="330"/>
      <c r="N38" s="335"/>
      <c r="O38" s="331"/>
      <c r="P38" s="331"/>
      <c r="Q38" s="331"/>
      <c r="R38" s="714"/>
      <c r="S38" s="867"/>
      <c r="T38" s="782"/>
      <c r="U38" s="782"/>
      <c r="V38" s="777"/>
    </row>
    <row r="39" spans="1:23" s="236" customFormat="1" ht="16.8" x14ac:dyDescent="0.4">
      <c r="A39" s="333">
        <v>45301</v>
      </c>
      <c r="B39" s="330" t="s">
        <v>103</v>
      </c>
      <c r="C39" s="334" t="s">
        <v>100</v>
      </c>
      <c r="D39" s="334" t="s">
        <v>52</v>
      </c>
      <c r="E39" s="331">
        <v>15.65</v>
      </c>
      <c r="F39" s="331">
        <v>4.18</v>
      </c>
      <c r="G39" s="339">
        <v>11.47</v>
      </c>
      <c r="H39" s="336"/>
      <c r="I39" s="330"/>
      <c r="J39" s="331"/>
      <c r="K39" s="340"/>
      <c r="L39" s="337"/>
      <c r="M39" s="330"/>
      <c r="N39" s="335"/>
      <c r="O39" s="331"/>
      <c r="P39" s="331"/>
      <c r="Q39" s="331"/>
      <c r="R39" s="714"/>
      <c r="S39" s="867"/>
      <c r="T39" s="782"/>
      <c r="U39" s="782"/>
      <c r="V39" s="777"/>
    </row>
    <row r="40" spans="1:23" s="236" customFormat="1" ht="16.8" x14ac:dyDescent="0.4">
      <c r="A40" s="333">
        <v>45407</v>
      </c>
      <c r="B40" s="330" t="s">
        <v>194</v>
      </c>
      <c r="C40" s="334" t="s">
        <v>100</v>
      </c>
      <c r="D40" s="334" t="s">
        <v>52</v>
      </c>
      <c r="E40" s="331">
        <v>15.65</v>
      </c>
      <c r="F40" s="331">
        <v>2.72</v>
      </c>
      <c r="G40" s="339">
        <v>12.93</v>
      </c>
      <c r="H40" s="336"/>
      <c r="I40" s="330"/>
      <c r="J40" s="331"/>
      <c r="K40" s="340"/>
      <c r="L40" s="337"/>
      <c r="M40" s="330"/>
      <c r="N40" s="335"/>
      <c r="O40" s="331"/>
      <c r="P40" s="331"/>
      <c r="Q40" s="331"/>
      <c r="R40" s="714"/>
      <c r="S40" s="867"/>
      <c r="T40" s="782"/>
      <c r="U40" s="782"/>
      <c r="V40" s="777"/>
    </row>
    <row r="41" spans="1:23" s="236" customFormat="1" ht="16.8" x14ac:dyDescent="0.4">
      <c r="A41" s="333">
        <v>45407</v>
      </c>
      <c r="B41" s="330" t="s">
        <v>194</v>
      </c>
      <c r="C41" s="334" t="s">
        <v>100</v>
      </c>
      <c r="D41" s="334" t="s">
        <v>52</v>
      </c>
      <c r="E41" s="331">
        <v>13.65</v>
      </c>
      <c r="F41" s="331">
        <v>0.72</v>
      </c>
      <c r="G41" s="339">
        <v>12.93</v>
      </c>
      <c r="H41" s="336"/>
      <c r="I41" s="330"/>
      <c r="J41" s="331">
        <v>4.7300000000000004</v>
      </c>
      <c r="K41" s="340">
        <v>0.44432014427020783</v>
      </c>
      <c r="L41" s="355">
        <v>8.1999999999999993</v>
      </c>
      <c r="M41" s="330"/>
      <c r="N41" s="335"/>
      <c r="O41" s="331"/>
      <c r="P41" s="331"/>
      <c r="Q41" s="331"/>
      <c r="R41" s="714">
        <v>0.77399999999999947</v>
      </c>
      <c r="S41" s="867"/>
      <c r="T41" s="782">
        <v>394231.43599999999</v>
      </c>
      <c r="U41" s="782">
        <v>6699728.5130000003</v>
      </c>
      <c r="V41" s="777">
        <v>1295.0119999999999</v>
      </c>
    </row>
    <row r="42" spans="1:23" s="236" customFormat="1" ht="16.8" x14ac:dyDescent="0.4">
      <c r="A42" s="333">
        <v>45551</v>
      </c>
      <c r="B42" s="330" t="s">
        <v>103</v>
      </c>
      <c r="C42" s="334" t="s">
        <v>100</v>
      </c>
      <c r="D42" s="334" t="s">
        <v>59</v>
      </c>
      <c r="E42" s="331">
        <v>13.65</v>
      </c>
      <c r="F42" s="331">
        <v>4.7699999999999996</v>
      </c>
      <c r="G42" s="339">
        <v>8.8800000000000008</v>
      </c>
      <c r="H42" s="336"/>
      <c r="I42" s="330"/>
      <c r="J42" s="331">
        <v>0.94</v>
      </c>
      <c r="K42" s="340">
        <v>0.61025490627237333</v>
      </c>
      <c r="L42" s="355">
        <v>7.9400000000000013</v>
      </c>
      <c r="M42" s="330"/>
      <c r="N42" s="335"/>
      <c r="O42" s="331"/>
      <c r="P42" s="331"/>
      <c r="Q42" s="331">
        <v>0.57363961189603085</v>
      </c>
      <c r="R42" s="714">
        <v>0.33600000000000085</v>
      </c>
      <c r="S42" s="867"/>
      <c r="T42" s="782">
        <v>394232.16600000003</v>
      </c>
      <c r="U42" s="782">
        <v>6699720.5959999999</v>
      </c>
      <c r="V42" s="777">
        <v>1287.9069999999999</v>
      </c>
    </row>
    <row r="43" spans="1:23" s="236" customFormat="1" ht="16.8" x14ac:dyDescent="0.4">
      <c r="A43" s="333">
        <v>45785</v>
      </c>
      <c r="B43" s="330" t="s">
        <v>200</v>
      </c>
      <c r="C43" s="334" t="s">
        <v>100</v>
      </c>
      <c r="D43" s="334" t="s">
        <v>248</v>
      </c>
      <c r="E43" s="331" t="s">
        <v>61</v>
      </c>
      <c r="F43" s="331"/>
      <c r="G43" s="339"/>
      <c r="H43" s="336"/>
      <c r="I43" s="330"/>
      <c r="J43" s="331"/>
      <c r="K43" s="340"/>
      <c r="L43" s="355"/>
      <c r="M43" s="330"/>
      <c r="N43" s="335"/>
      <c r="O43" s="331"/>
      <c r="P43" s="331"/>
      <c r="Q43" s="331"/>
      <c r="R43" s="714"/>
      <c r="S43" s="867"/>
      <c r="T43" s="782"/>
      <c r="U43" s="782"/>
      <c r="V43" s="777"/>
    </row>
    <row r="44" spans="1:23" ht="16.8" x14ac:dyDescent="0.4">
      <c r="A44" s="70"/>
      <c r="B44" s="70"/>
      <c r="C44" s="213"/>
      <c r="D44" s="213"/>
      <c r="E44" s="71"/>
      <c r="F44" s="71"/>
      <c r="G44" s="206"/>
      <c r="H44" s="209"/>
      <c r="I44" s="70"/>
      <c r="J44" s="71"/>
      <c r="K44" s="213"/>
      <c r="L44" s="215"/>
      <c r="M44" s="70"/>
      <c r="N44" s="206"/>
      <c r="O44" s="71"/>
      <c r="P44" s="71"/>
      <c r="Q44" s="71"/>
      <c r="R44" s="102"/>
      <c r="S44" s="300"/>
      <c r="T44" s="796"/>
      <c r="U44" s="796"/>
      <c r="V44" s="791"/>
    </row>
    <row r="45" spans="1:23" s="696" customFormat="1" ht="16.8" x14ac:dyDescent="0.4">
      <c r="A45" s="697">
        <v>45407</v>
      </c>
      <c r="B45" s="268" t="s">
        <v>186</v>
      </c>
      <c r="C45" s="703" t="s">
        <v>190</v>
      </c>
      <c r="D45" s="703" t="s">
        <v>52</v>
      </c>
      <c r="E45" s="694">
        <v>12</v>
      </c>
      <c r="F45" s="694">
        <v>0.98</v>
      </c>
      <c r="G45" s="706">
        <v>11.02</v>
      </c>
      <c r="H45" s="704"/>
      <c r="I45" s="268"/>
      <c r="J45" s="694">
        <v>4.7300000000000004</v>
      </c>
      <c r="K45" s="707">
        <v>0.44432014427020783</v>
      </c>
      <c r="L45" s="768">
        <v>6.2899999999999991</v>
      </c>
      <c r="M45" s="268"/>
      <c r="N45" s="218"/>
      <c r="O45" s="694"/>
      <c r="P45" s="694">
        <v>2.1016342823980834</v>
      </c>
      <c r="Q45" s="694"/>
      <c r="R45" s="868"/>
      <c r="S45" s="869"/>
      <c r="T45" s="780">
        <v>394251.53100000002</v>
      </c>
      <c r="U45" s="780">
        <v>6699756.5549999997</v>
      </c>
      <c r="V45" s="792">
        <v>1298.616</v>
      </c>
    </row>
    <row r="46" spans="1:23" s="696" customFormat="1" ht="16.8" x14ac:dyDescent="0.4">
      <c r="A46" s="697">
        <v>45551</v>
      </c>
      <c r="B46" s="268" t="s">
        <v>103</v>
      </c>
      <c r="C46" s="703" t="s">
        <v>190</v>
      </c>
      <c r="D46" s="703" t="s">
        <v>59</v>
      </c>
      <c r="E46" s="694">
        <v>10</v>
      </c>
      <c r="F46" s="694">
        <v>2.8</v>
      </c>
      <c r="G46" s="706">
        <v>7.2</v>
      </c>
      <c r="H46" s="704"/>
      <c r="I46" s="268"/>
      <c r="J46" s="694">
        <v>0.94</v>
      </c>
      <c r="K46" s="707">
        <v>0.61025490627237333</v>
      </c>
      <c r="L46" s="768">
        <v>6.26</v>
      </c>
      <c r="M46" s="694">
        <v>6.2749999999999995</v>
      </c>
      <c r="N46" s="218"/>
      <c r="O46" s="694">
        <v>-1.5279946705020526</v>
      </c>
      <c r="P46" s="694"/>
      <c r="Q46" s="694">
        <v>0.57363961189603085</v>
      </c>
      <c r="R46" s="868"/>
      <c r="S46" s="869">
        <v>0</v>
      </c>
      <c r="T46" s="780">
        <v>394251.38799999998</v>
      </c>
      <c r="U46" s="780">
        <v>6699747.6050000004</v>
      </c>
      <c r="V46" s="792">
        <v>1289.8900000000001</v>
      </c>
    </row>
    <row r="47" spans="1:23" s="696" customFormat="1" ht="16.8" x14ac:dyDescent="0.4">
      <c r="A47" s="697">
        <v>45551</v>
      </c>
      <c r="B47" s="268" t="s">
        <v>103</v>
      </c>
      <c r="C47" s="703" t="s">
        <v>190</v>
      </c>
      <c r="D47" s="703" t="s">
        <v>59</v>
      </c>
      <c r="E47" s="694">
        <v>11.5</v>
      </c>
      <c r="F47" s="694">
        <v>4.3</v>
      </c>
      <c r="G47" s="706">
        <v>7.2</v>
      </c>
      <c r="H47" s="704"/>
      <c r="I47" s="268"/>
      <c r="J47" s="694"/>
      <c r="K47" s="707"/>
      <c r="L47" s="768"/>
      <c r="M47" s="268"/>
      <c r="N47" s="218"/>
      <c r="O47" s="694"/>
      <c r="P47" s="694"/>
      <c r="Q47" s="694"/>
      <c r="R47" s="868"/>
      <c r="S47" s="869"/>
      <c r="T47" s="780"/>
      <c r="U47" s="780"/>
      <c r="V47" s="792"/>
    </row>
    <row r="48" spans="1:23" s="696" customFormat="1" ht="16.8" x14ac:dyDescent="0.4">
      <c r="A48" s="697">
        <v>45659</v>
      </c>
      <c r="B48" s="268" t="s">
        <v>200</v>
      </c>
      <c r="C48" s="703" t="s">
        <v>190</v>
      </c>
      <c r="D48" s="703" t="s">
        <v>89</v>
      </c>
      <c r="E48" s="694">
        <v>11.5</v>
      </c>
      <c r="F48" s="694">
        <v>0.11</v>
      </c>
      <c r="G48" s="706">
        <f>E48-F48</f>
        <v>11.39</v>
      </c>
      <c r="H48" s="704"/>
      <c r="I48" s="268"/>
      <c r="J48" s="694"/>
      <c r="K48" s="707"/>
      <c r="L48" s="768"/>
      <c r="M48" s="268"/>
      <c r="N48" s="218"/>
      <c r="O48" s="694"/>
      <c r="P48" s="694"/>
      <c r="Q48" s="694"/>
      <c r="R48" s="868"/>
      <c r="S48" s="869"/>
      <c r="T48" s="780"/>
      <c r="U48" s="780"/>
      <c r="V48" s="792"/>
      <c r="W48" s="696" t="s">
        <v>201</v>
      </c>
    </row>
    <row r="49" spans="1:23" s="696" customFormat="1" ht="16.8" x14ac:dyDescent="0.4">
      <c r="A49" s="697">
        <v>45659</v>
      </c>
      <c r="B49" s="268" t="s">
        <v>200</v>
      </c>
      <c r="C49" s="703" t="s">
        <v>190</v>
      </c>
      <c r="D49" s="703" t="s">
        <v>89</v>
      </c>
      <c r="E49" s="694">
        <v>15.5</v>
      </c>
      <c r="F49" s="694">
        <f>E49-G49</f>
        <v>4.1099999999999994</v>
      </c>
      <c r="G49" s="706">
        <f>G48</f>
        <v>11.39</v>
      </c>
      <c r="H49" s="704"/>
      <c r="I49" s="268"/>
      <c r="J49" s="694"/>
      <c r="K49" s="707"/>
      <c r="L49" s="768"/>
      <c r="M49" s="268"/>
      <c r="N49" s="218"/>
      <c r="O49" s="694"/>
      <c r="P49" s="694"/>
      <c r="Q49" s="694"/>
      <c r="R49" s="868"/>
      <c r="S49" s="869"/>
      <c r="T49" s="780"/>
      <c r="U49" s="780"/>
      <c r="V49" s="792"/>
      <c r="W49" s="696" t="s">
        <v>202</v>
      </c>
    </row>
    <row r="50" spans="1:23" s="696" customFormat="1" ht="16.8" x14ac:dyDescent="0.4">
      <c r="A50" s="697">
        <v>45785</v>
      </c>
      <c r="B50" s="268" t="s">
        <v>200</v>
      </c>
      <c r="C50" s="703" t="s">
        <v>190</v>
      </c>
      <c r="D50" s="703" t="s">
        <v>248</v>
      </c>
      <c r="E50" s="694" t="s">
        <v>61</v>
      </c>
      <c r="F50" s="694"/>
      <c r="G50" s="706"/>
      <c r="H50" s="704"/>
      <c r="I50" s="268"/>
      <c r="J50" s="694"/>
      <c r="K50" s="707"/>
      <c r="L50" s="768"/>
      <c r="M50" s="268"/>
      <c r="N50" s="218"/>
      <c r="O50" s="694"/>
      <c r="P50" s="694"/>
      <c r="Q50" s="694"/>
      <c r="R50" s="868"/>
      <c r="S50" s="869"/>
      <c r="T50" s="780"/>
      <c r="U50" s="780"/>
      <c r="V50" s="792"/>
    </row>
    <row r="51" spans="1:23" ht="16.8" x14ac:dyDescent="0.4">
      <c r="A51" s="70"/>
      <c r="B51" s="70"/>
      <c r="C51" s="213"/>
      <c r="D51" s="213"/>
      <c r="E51" s="71"/>
      <c r="F51" s="71"/>
      <c r="G51" s="206"/>
      <c r="H51" s="209"/>
      <c r="I51" s="70"/>
      <c r="J51" s="71"/>
      <c r="K51" s="213"/>
      <c r="L51" s="215"/>
      <c r="M51" s="70"/>
      <c r="N51" s="206"/>
      <c r="O51" s="71"/>
      <c r="P51" s="71"/>
      <c r="Q51" s="71"/>
      <c r="R51" s="102"/>
      <c r="S51" s="300"/>
      <c r="T51" s="781"/>
      <c r="U51" s="781"/>
      <c r="V51" s="785"/>
    </row>
    <row r="52" spans="1:23" ht="16.8" x14ac:dyDescent="0.4">
      <c r="A52" s="860">
        <v>45785</v>
      </c>
      <c r="B52" s="852" t="s">
        <v>200</v>
      </c>
      <c r="C52" s="853" t="s">
        <v>249</v>
      </c>
      <c r="D52" s="853" t="s">
        <v>52</v>
      </c>
      <c r="E52" s="854">
        <v>10</v>
      </c>
      <c r="F52" s="854">
        <v>0.7</v>
      </c>
      <c r="G52" s="861">
        <f>E52-F52</f>
        <v>9.3000000000000007</v>
      </c>
      <c r="H52" s="856"/>
      <c r="I52" s="854"/>
      <c r="J52" s="854">
        <f>SiteC_PitCore_20250508!I3</f>
        <v>8</v>
      </c>
      <c r="K52" s="862">
        <f>SiteC_PitCore_20250508!I4</f>
        <v>0.45373105494465016</v>
      </c>
      <c r="L52" s="863">
        <f>G52-J52</f>
        <v>1.3000000000000007</v>
      </c>
      <c r="M52" s="852"/>
      <c r="N52" s="855"/>
      <c r="O52" s="854"/>
      <c r="P52" s="854">
        <f>J52*K52</f>
        <v>3.6298484395572013</v>
      </c>
      <c r="Q52" s="854"/>
      <c r="R52" s="859"/>
      <c r="S52" s="870"/>
      <c r="T52" s="881">
        <v>394256.071</v>
      </c>
      <c r="U52" s="881">
        <v>6699741.1179999998</v>
      </c>
      <c r="V52" s="882">
        <v>1297.204</v>
      </c>
      <c r="W52" s="858"/>
    </row>
    <row r="53" spans="1:23" ht="16.8" x14ac:dyDescent="0.4">
      <c r="A53" s="860">
        <v>45785</v>
      </c>
      <c r="B53" s="852" t="s">
        <v>200</v>
      </c>
      <c r="C53" s="853" t="s">
        <v>249</v>
      </c>
      <c r="D53" s="853" t="s">
        <v>52</v>
      </c>
      <c r="E53" s="854">
        <v>10</v>
      </c>
      <c r="F53" s="854">
        <v>0.7</v>
      </c>
      <c r="G53" s="861">
        <f>E53-F53</f>
        <v>9.3000000000000007</v>
      </c>
      <c r="H53" s="856"/>
      <c r="I53" s="852"/>
      <c r="J53" s="854"/>
      <c r="K53" s="853"/>
      <c r="L53" s="857"/>
      <c r="M53" s="852"/>
      <c r="N53" s="855"/>
      <c r="O53" s="854"/>
      <c r="P53" s="854"/>
      <c r="Q53" s="854"/>
      <c r="R53" s="859"/>
      <c r="S53" s="870"/>
      <c r="T53" s="881">
        <v>394256.071</v>
      </c>
      <c r="U53" s="881">
        <v>6699741.1179999998</v>
      </c>
      <c r="V53" s="882">
        <v>1297.204</v>
      </c>
      <c r="W53" s="858"/>
    </row>
    <row r="54" spans="1:23" ht="16.8" x14ac:dyDescent="0.4">
      <c r="A54" s="852"/>
      <c r="B54" s="852"/>
      <c r="C54" s="853"/>
      <c r="D54" s="853"/>
      <c r="E54" s="854"/>
      <c r="F54" s="854"/>
      <c r="G54" s="855"/>
      <c r="H54" s="856"/>
      <c r="I54" s="852"/>
      <c r="J54" s="854"/>
      <c r="K54" s="853"/>
      <c r="L54" s="857"/>
      <c r="M54" s="852"/>
      <c r="N54" s="855"/>
      <c r="O54" s="854"/>
      <c r="P54" s="854"/>
      <c r="Q54" s="854"/>
      <c r="R54" s="859"/>
      <c r="S54" s="870"/>
      <c r="T54" s="881"/>
      <c r="U54" s="881"/>
      <c r="V54" s="882"/>
      <c r="W54" s="858"/>
    </row>
    <row r="55" spans="1:23" ht="14.4" x14ac:dyDescent="0.3">
      <c r="A55" s="852"/>
      <c r="B55" s="852"/>
      <c r="C55" s="853"/>
      <c r="D55" s="853"/>
      <c r="E55" s="854"/>
      <c r="F55" s="854"/>
      <c r="G55" s="855"/>
      <c r="H55" s="856"/>
      <c r="I55" s="852"/>
      <c r="J55" s="854"/>
      <c r="K55" s="853"/>
      <c r="L55" s="857"/>
      <c r="M55" s="852"/>
      <c r="N55" s="855"/>
      <c r="O55" s="854"/>
      <c r="P55" s="854"/>
      <c r="Q55" s="854"/>
      <c r="R55" s="859"/>
      <c r="S55" s="870"/>
      <c r="T55" s="854"/>
      <c r="U55" s="854"/>
      <c r="V55" s="883"/>
      <c r="W55" s="858"/>
    </row>
    <row r="56" spans="1:23" ht="14.4" x14ac:dyDescent="0.3">
      <c r="A56" s="852"/>
      <c r="B56" s="852"/>
      <c r="C56" s="853"/>
      <c r="D56" s="853"/>
      <c r="E56" s="854"/>
      <c r="F56" s="854"/>
      <c r="G56" s="855"/>
      <c r="H56" s="856"/>
      <c r="I56" s="852"/>
      <c r="J56" s="854"/>
      <c r="K56" s="853"/>
      <c r="L56" s="857"/>
      <c r="M56" s="852"/>
      <c r="N56" s="855"/>
      <c r="O56" s="854"/>
      <c r="P56" s="854"/>
      <c r="Q56" s="854"/>
      <c r="R56" s="859"/>
      <c r="S56" s="870"/>
      <c r="T56" s="854"/>
      <c r="U56" s="854"/>
      <c r="V56" s="883"/>
      <c r="W56" s="858"/>
    </row>
    <row r="57" spans="1:23" ht="14.4" x14ac:dyDescent="0.3">
      <c r="A57" s="852"/>
      <c r="B57" s="852"/>
      <c r="C57" s="853"/>
      <c r="D57" s="853"/>
      <c r="E57" s="854"/>
      <c r="F57" s="854"/>
      <c r="G57" s="855"/>
      <c r="H57" s="856"/>
      <c r="I57" s="852"/>
      <c r="J57" s="854"/>
      <c r="K57" s="853"/>
      <c r="L57" s="857"/>
      <c r="M57" s="852"/>
      <c r="N57" s="855"/>
      <c r="O57" s="854"/>
      <c r="P57" s="854"/>
      <c r="Q57" s="854"/>
      <c r="R57" s="859"/>
      <c r="S57" s="870"/>
      <c r="T57" s="852"/>
      <c r="U57" s="852"/>
      <c r="V57" s="884"/>
      <c r="W57" s="858"/>
    </row>
    <row r="58" spans="1:23" ht="15" thickBot="1" x14ac:dyDescent="0.35">
      <c r="A58" s="70"/>
      <c r="B58" s="70"/>
      <c r="C58" s="70"/>
      <c r="D58" s="70"/>
      <c r="E58" s="71"/>
      <c r="F58" s="71"/>
      <c r="G58" s="70"/>
      <c r="H58" s="70"/>
      <c r="I58" s="70"/>
      <c r="J58" s="71"/>
      <c r="K58" s="70"/>
      <c r="L58" s="70"/>
      <c r="M58" s="70"/>
      <c r="N58" s="206"/>
      <c r="O58" s="71"/>
      <c r="P58" s="71"/>
      <c r="Q58" s="71"/>
      <c r="R58" s="102"/>
      <c r="S58" s="102"/>
      <c r="T58" s="70"/>
      <c r="U58" s="70"/>
      <c r="V58" s="104"/>
    </row>
    <row r="59" spans="1:23" ht="14.4" customHeight="1" x14ac:dyDescent="0.3">
      <c r="A59" s="932" t="s">
        <v>37</v>
      </c>
      <c r="B59" s="933"/>
      <c r="C59" s="936" t="s">
        <v>38</v>
      </c>
      <c r="D59" s="937"/>
      <c r="E59" s="126" t="s">
        <v>39</v>
      </c>
      <c r="F59" s="74"/>
      <c r="G59" s="73" t="s">
        <v>40</v>
      </c>
      <c r="H59" s="74"/>
      <c r="I59" s="99" t="s">
        <v>41</v>
      </c>
      <c r="Q59" s="353"/>
      <c r="R59" s="354"/>
      <c r="S59" s="354"/>
      <c r="T59" s="108"/>
      <c r="U59" s="70"/>
      <c r="V59" s="104"/>
    </row>
    <row r="60" spans="1:23" ht="14.4" customHeight="1" x14ac:dyDescent="0.3">
      <c r="A60" s="934"/>
      <c r="B60" s="935"/>
      <c r="C60" s="824" t="s">
        <v>42</v>
      </c>
      <c r="D60" s="76" t="s">
        <v>43</v>
      </c>
      <c r="E60" s="127">
        <f>A47</f>
        <v>45551</v>
      </c>
      <c r="F60" s="77" t="s">
        <v>44</v>
      </c>
      <c r="G60" s="127">
        <f>A52</f>
        <v>45785</v>
      </c>
      <c r="H60" s="77" t="s">
        <v>44</v>
      </c>
      <c r="I60" s="79" t="s">
        <v>54</v>
      </c>
      <c r="Q60" s="353"/>
      <c r="R60" s="774"/>
      <c r="S60" s="774"/>
      <c r="T60" s="108"/>
      <c r="U60" s="70"/>
      <c r="V60" s="104"/>
    </row>
    <row r="61" spans="1:23" ht="14.4" x14ac:dyDescent="0.3">
      <c r="A61" s="81"/>
      <c r="B61" s="82" t="s">
        <v>45</v>
      </c>
      <c r="C61" s="844">
        <f>P52</f>
        <v>3.6298484395572013</v>
      </c>
      <c r="D61" s="83"/>
      <c r="E61" s="83"/>
      <c r="F61" s="84"/>
      <c r="G61" s="85"/>
      <c r="H61" s="83"/>
      <c r="I61" s="100"/>
      <c r="Q61" s="353"/>
      <c r="R61" s="774"/>
      <c r="S61" s="774"/>
      <c r="T61" s="108"/>
      <c r="U61" s="70"/>
      <c r="V61" s="104"/>
    </row>
    <row r="62" spans="1:23" ht="14.4" x14ac:dyDescent="0.3">
      <c r="A62" s="81"/>
      <c r="B62" s="82" t="s">
        <v>46</v>
      </c>
      <c r="C62" s="828" t="s">
        <v>54</v>
      </c>
      <c r="D62" s="83"/>
      <c r="E62" s="83"/>
      <c r="F62" s="84"/>
      <c r="G62" s="85"/>
      <c r="H62" s="83"/>
      <c r="I62" s="100"/>
      <c r="Q62" s="353"/>
      <c r="R62" s="774"/>
      <c r="S62" s="774"/>
      <c r="T62" s="108"/>
      <c r="U62" s="70"/>
      <c r="V62" s="104"/>
    </row>
    <row r="63" spans="1:23" ht="14.4" x14ac:dyDescent="0.3">
      <c r="A63" s="81"/>
      <c r="B63" s="82" t="s">
        <v>47</v>
      </c>
      <c r="C63" s="828" t="s">
        <v>54</v>
      </c>
      <c r="D63" s="83"/>
      <c r="E63" s="83"/>
      <c r="F63" s="84"/>
      <c r="G63" s="85"/>
      <c r="H63" s="83"/>
      <c r="I63" s="100"/>
      <c r="Q63" s="353"/>
      <c r="R63" s="774"/>
      <c r="S63" s="774"/>
      <c r="T63" s="68"/>
      <c r="U63" s="72"/>
    </row>
    <row r="64" spans="1:23" ht="14.4" x14ac:dyDescent="0.3">
      <c r="A64" s="81"/>
      <c r="B64" s="87" t="s">
        <v>48</v>
      </c>
      <c r="C64" s="845">
        <f>S46</f>
        <v>0</v>
      </c>
      <c r="D64" s="83"/>
      <c r="E64" s="83"/>
      <c r="F64" s="84"/>
      <c r="G64" s="83"/>
      <c r="H64" s="83"/>
      <c r="I64" s="100"/>
      <c r="Q64" s="353"/>
      <c r="R64" s="774"/>
      <c r="S64" s="774"/>
      <c r="T64" s="68"/>
      <c r="U64" s="72"/>
    </row>
    <row r="65" spans="1:21" ht="14.4" x14ac:dyDescent="0.3">
      <c r="A65" s="81"/>
      <c r="B65" s="88" t="s">
        <v>49</v>
      </c>
      <c r="C65" s="828" t="s">
        <v>54</v>
      </c>
      <c r="D65" s="83"/>
      <c r="E65" s="83"/>
      <c r="F65" s="84"/>
      <c r="G65" s="83"/>
      <c r="H65" s="83"/>
      <c r="I65" s="100"/>
      <c r="Q65" s="353"/>
      <c r="R65" s="774"/>
      <c r="S65" s="774"/>
      <c r="T65" s="68"/>
      <c r="U65" s="72"/>
    </row>
    <row r="66" spans="1:21" ht="15" thickBot="1" x14ac:dyDescent="0.35">
      <c r="A66" s="89"/>
      <c r="B66" s="90" t="s">
        <v>50</v>
      </c>
      <c r="C66" s="829" t="s">
        <v>54</v>
      </c>
      <c r="D66" s="91"/>
      <c r="E66" s="91"/>
      <c r="F66" s="92"/>
      <c r="G66" s="93"/>
      <c r="H66" s="93"/>
      <c r="I66" s="101"/>
      <c r="Q66" s="353"/>
      <c r="R66" s="774"/>
      <c r="S66" s="774"/>
      <c r="T66" s="68"/>
      <c r="U66" s="72"/>
    </row>
    <row r="67" spans="1:21" ht="14.4" x14ac:dyDescent="0.3">
      <c r="A67" s="72"/>
      <c r="B67" s="72"/>
      <c r="C67" s="72"/>
      <c r="D67" s="72"/>
      <c r="E67" s="72"/>
      <c r="F67" s="72"/>
      <c r="G67" s="72"/>
      <c r="H67" s="72"/>
      <c r="I67" s="72"/>
      <c r="J67" s="102"/>
      <c r="K67" s="72"/>
      <c r="L67" s="72"/>
      <c r="M67" s="72"/>
      <c r="N67" s="72"/>
      <c r="O67" s="102"/>
      <c r="P67" s="102"/>
      <c r="Q67" s="354"/>
      <c r="R67" s="354"/>
      <c r="S67" s="354"/>
      <c r="T67" s="68"/>
      <c r="U67" s="72"/>
    </row>
  </sheetData>
  <mergeCells count="6">
    <mergeCell ref="T1:V1"/>
    <mergeCell ref="T2:U2"/>
    <mergeCell ref="E3:G3"/>
    <mergeCell ref="T3:U3"/>
    <mergeCell ref="A59:B60"/>
    <mergeCell ref="C59:D5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8"/>
  <sheetViews>
    <sheetView zoomScale="80" zoomScaleNormal="80" workbookViewId="0">
      <selection activeCell="J23" sqref="J23"/>
    </sheetView>
  </sheetViews>
  <sheetFormatPr defaultColWidth="17.44140625" defaultRowHeight="15.75" customHeight="1" x14ac:dyDescent="0.3"/>
  <cols>
    <col min="1" max="1" width="12.44140625" style="2" customWidth="1"/>
    <col min="2" max="2" width="27.44140625" style="2" customWidth="1"/>
    <col min="3" max="3" width="11.44140625" style="2" bestFit="1" customWidth="1"/>
    <col min="4" max="4" width="20" style="2" bestFit="1" customWidth="1"/>
    <col min="5" max="5" width="11.33203125" style="2" bestFit="1" customWidth="1"/>
    <col min="6" max="7" width="13.5546875" style="2" bestFit="1" customWidth="1"/>
    <col min="8" max="8" width="14.44140625" style="2" bestFit="1" customWidth="1"/>
    <col min="9" max="9" width="17.44140625" style="2" bestFit="1" customWidth="1"/>
    <col min="10" max="10" width="19.5546875" style="2" bestFit="1" customWidth="1"/>
    <col min="11" max="11" width="16.44140625" style="2" bestFit="1" customWidth="1"/>
    <col min="12" max="12" width="18" style="2" customWidth="1"/>
    <col min="13" max="13" width="22.109375" style="2" customWidth="1"/>
    <col min="14" max="14" width="11.5546875" style="2" bestFit="1" customWidth="1"/>
    <col min="15" max="15" width="11.44140625" style="2" bestFit="1" customWidth="1"/>
    <col min="16" max="17" width="7.88671875" style="2" bestFit="1" customWidth="1"/>
    <col min="18" max="18" width="14.5546875" style="2" bestFit="1" customWidth="1"/>
    <col min="19" max="19" width="20.5546875" style="2" bestFit="1" customWidth="1"/>
    <col min="20" max="20" width="21" style="2" bestFit="1" customWidth="1"/>
    <col min="21" max="21" width="21.109375" style="2" customWidth="1"/>
    <col min="22" max="16384" width="17.44140625" style="2"/>
  </cols>
  <sheetData>
    <row r="1" spans="1:23" ht="14.4" x14ac:dyDescent="0.3">
      <c r="A1" s="5"/>
      <c r="B1" s="6"/>
      <c r="C1" s="7"/>
      <c r="D1" s="8"/>
      <c r="E1" s="9"/>
      <c r="F1" s="10"/>
      <c r="G1" s="11"/>
      <c r="H1" s="12"/>
      <c r="I1" s="11"/>
      <c r="J1" s="13"/>
      <c r="K1" s="10"/>
      <c r="L1" s="14"/>
      <c r="M1" s="15"/>
      <c r="N1" s="11"/>
      <c r="O1" s="16"/>
      <c r="P1" s="17"/>
      <c r="Q1" s="17"/>
      <c r="R1" s="17"/>
      <c r="S1" s="18"/>
      <c r="T1" s="817" t="s">
        <v>9</v>
      </c>
      <c r="U1" s="818"/>
      <c r="V1" s="819"/>
      <c r="W1" s="19"/>
    </row>
    <row r="2" spans="1:23" ht="14.4" x14ac:dyDescent="0.3">
      <c r="A2" s="20"/>
      <c r="B2" s="21"/>
      <c r="C2" s="22"/>
      <c r="D2" s="23"/>
      <c r="E2" s="808"/>
      <c r="F2" s="809"/>
      <c r="G2" s="24"/>
      <c r="H2" s="25"/>
      <c r="I2" s="24"/>
      <c r="J2" s="26"/>
      <c r="K2" s="27"/>
      <c r="L2" s="28"/>
      <c r="M2" s="29"/>
      <c r="N2" s="26"/>
      <c r="O2" s="1"/>
      <c r="S2" s="4"/>
      <c r="T2" s="820" t="s">
        <v>10</v>
      </c>
      <c r="U2" s="821"/>
      <c r="V2" s="810"/>
      <c r="W2" s="30"/>
    </row>
    <row r="3" spans="1:23" ht="14.4" x14ac:dyDescent="0.3">
      <c r="A3" s="20"/>
      <c r="B3" s="21"/>
      <c r="C3" s="22"/>
      <c r="D3" s="31"/>
      <c r="E3" s="808" t="s">
        <v>11</v>
      </c>
      <c r="F3" s="809"/>
      <c r="G3" s="810"/>
      <c r="H3" s="32"/>
      <c r="I3" s="809"/>
      <c r="J3" s="26"/>
      <c r="K3" s="809"/>
      <c r="L3" s="33"/>
      <c r="M3" s="34"/>
      <c r="N3" s="26"/>
      <c r="O3" s="35"/>
      <c r="P3" s="26"/>
      <c r="Q3" s="26"/>
      <c r="R3" s="36"/>
      <c r="S3" s="37"/>
      <c r="T3" s="811" t="s">
        <v>12</v>
      </c>
      <c r="U3" s="812"/>
      <c r="V3" s="810"/>
      <c r="W3" s="38"/>
    </row>
    <row r="4" spans="1:23" s="52" customFormat="1" ht="39.6" x14ac:dyDescent="0.3">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47" t="s">
        <v>27</v>
      </c>
      <c r="P4" s="44" t="s">
        <v>28</v>
      </c>
      <c r="Q4" s="44" t="s">
        <v>29</v>
      </c>
      <c r="R4" s="48" t="s">
        <v>7</v>
      </c>
      <c r="S4" s="49" t="s">
        <v>8</v>
      </c>
      <c r="T4" s="50" t="s">
        <v>30</v>
      </c>
      <c r="U4" s="50" t="s">
        <v>31</v>
      </c>
      <c r="V4" s="51" t="s">
        <v>2</v>
      </c>
      <c r="W4" s="41" t="s">
        <v>32</v>
      </c>
    </row>
    <row r="5" spans="1:23" s="107" customFormat="1" ht="15" thickBot="1" x14ac:dyDescent="0.35">
      <c r="A5" s="138" t="s">
        <v>33</v>
      </c>
      <c r="B5" s="139"/>
      <c r="C5" s="140"/>
      <c r="D5" s="141"/>
      <c r="E5" s="142" t="s">
        <v>34</v>
      </c>
      <c r="F5" s="142" t="s">
        <v>34</v>
      </c>
      <c r="G5" s="143" t="s">
        <v>34</v>
      </c>
      <c r="H5" s="144" t="s">
        <v>34</v>
      </c>
      <c r="I5" s="142" t="s">
        <v>34</v>
      </c>
      <c r="J5" s="142" t="s">
        <v>34</v>
      </c>
      <c r="K5" s="139" t="s">
        <v>35</v>
      </c>
      <c r="L5" s="145" t="s">
        <v>34</v>
      </c>
      <c r="M5" s="146" t="s">
        <v>34</v>
      </c>
      <c r="N5" s="146" t="s">
        <v>35</v>
      </c>
      <c r="O5" s="147" t="s">
        <v>36</v>
      </c>
      <c r="P5" s="146" t="s">
        <v>36</v>
      </c>
      <c r="Q5" s="146" t="s">
        <v>36</v>
      </c>
      <c r="R5" s="148" t="s">
        <v>36</v>
      </c>
      <c r="S5" s="149" t="s">
        <v>36</v>
      </c>
      <c r="T5" s="150" t="s">
        <v>34</v>
      </c>
      <c r="U5" s="150" t="s">
        <v>34</v>
      </c>
      <c r="V5" s="151" t="s">
        <v>34</v>
      </c>
      <c r="W5" s="140"/>
    </row>
    <row r="6" spans="1:23" s="320" customFormat="1" ht="16.8" x14ac:dyDescent="0.3">
      <c r="A6" s="341">
        <v>45051</v>
      </c>
      <c r="B6" s="318" t="s">
        <v>91</v>
      </c>
      <c r="C6" s="321" t="s">
        <v>92</v>
      </c>
      <c r="D6" s="322" t="s">
        <v>89</v>
      </c>
      <c r="E6" s="319">
        <v>12.2</v>
      </c>
      <c r="F6" s="319">
        <v>1.41</v>
      </c>
      <c r="G6" s="323">
        <v>10.79</v>
      </c>
      <c r="H6" s="324"/>
      <c r="I6" s="318"/>
      <c r="J6" s="319">
        <v>4.17</v>
      </c>
      <c r="K6" s="342">
        <v>0.41</v>
      </c>
      <c r="L6" s="346">
        <v>6.6199999999999992</v>
      </c>
      <c r="M6" s="318"/>
      <c r="N6" s="323"/>
      <c r="O6" s="319"/>
      <c r="P6" s="319">
        <v>1.7096999999999998</v>
      </c>
      <c r="Q6" s="319"/>
      <c r="R6" s="319"/>
      <c r="S6" s="325"/>
      <c r="T6" s="804">
        <v>395978.21</v>
      </c>
      <c r="U6" s="804">
        <v>6699654.9280000003</v>
      </c>
      <c r="V6" s="805">
        <v>1370.59</v>
      </c>
    </row>
    <row r="7" spans="1:23" s="320" customFormat="1" ht="16.8" x14ac:dyDescent="0.3">
      <c r="A7" s="341">
        <v>45175</v>
      </c>
      <c r="B7" s="318" t="s">
        <v>99</v>
      </c>
      <c r="C7" s="321" t="s">
        <v>92</v>
      </c>
      <c r="D7" s="322" t="s">
        <v>59</v>
      </c>
      <c r="E7" s="319">
        <v>9.15</v>
      </c>
      <c r="F7" s="319">
        <v>2.64</v>
      </c>
      <c r="G7" s="325">
        <v>6.51</v>
      </c>
      <c r="H7" s="324"/>
      <c r="I7" s="318"/>
      <c r="J7" s="319"/>
      <c r="K7" s="342"/>
      <c r="L7" s="346">
        <v>6.51</v>
      </c>
      <c r="M7" s="318"/>
      <c r="N7" s="323"/>
      <c r="O7" s="319">
        <v>-1.7679999999999996</v>
      </c>
      <c r="P7" s="319"/>
      <c r="Q7" s="319">
        <v>-5.8299999999999699E-2</v>
      </c>
      <c r="R7" s="319"/>
      <c r="S7" s="325">
        <v>0</v>
      </c>
      <c r="T7" s="804"/>
      <c r="U7" s="804"/>
      <c r="V7" s="805"/>
    </row>
    <row r="8" spans="1:23" s="320" customFormat="1" ht="16.8" x14ac:dyDescent="0.3">
      <c r="A8" s="341">
        <v>45175</v>
      </c>
      <c r="B8" s="318" t="s">
        <v>99</v>
      </c>
      <c r="C8" s="321" t="s">
        <v>92</v>
      </c>
      <c r="D8" s="322" t="s">
        <v>59</v>
      </c>
      <c r="E8" s="319">
        <v>11</v>
      </c>
      <c r="F8" s="319">
        <v>4.49</v>
      </c>
      <c r="G8" s="323">
        <v>6.51</v>
      </c>
      <c r="H8" s="324"/>
      <c r="I8" s="318"/>
      <c r="J8" s="319"/>
      <c r="K8" s="342"/>
      <c r="L8" s="346"/>
      <c r="M8" s="318"/>
      <c r="N8" s="323"/>
      <c r="O8" s="319"/>
      <c r="P8" s="319"/>
      <c r="Q8" s="319"/>
      <c r="R8" s="319"/>
      <c r="S8" s="325"/>
      <c r="T8" s="804"/>
      <c r="U8" s="804"/>
      <c r="V8" s="805"/>
    </row>
    <row r="9" spans="1:23" s="320" customFormat="1" ht="16.8" x14ac:dyDescent="0.3">
      <c r="A9" s="341">
        <v>45301</v>
      </c>
      <c r="B9" s="318" t="s">
        <v>103</v>
      </c>
      <c r="C9" s="321" t="s">
        <v>92</v>
      </c>
      <c r="D9" s="322" t="s">
        <v>52</v>
      </c>
      <c r="E9" s="319">
        <v>11</v>
      </c>
      <c r="F9" s="319">
        <v>0.1</v>
      </c>
      <c r="G9" s="325">
        <v>10.9</v>
      </c>
      <c r="H9" s="360">
        <v>4.3900000000000006</v>
      </c>
      <c r="I9" s="318"/>
      <c r="J9" s="319"/>
      <c r="K9" s="342"/>
      <c r="L9" s="346"/>
      <c r="M9" s="318"/>
      <c r="N9" s="323"/>
      <c r="O9" s="319"/>
      <c r="P9" s="319"/>
      <c r="Q9" s="319"/>
      <c r="R9" s="319"/>
      <c r="S9" s="325"/>
      <c r="T9" s="804"/>
      <c r="U9" s="804"/>
      <c r="V9" s="805"/>
    </row>
    <row r="10" spans="1:23" s="320" customFormat="1" ht="16.8" x14ac:dyDescent="0.3">
      <c r="A10" s="341">
        <v>45301</v>
      </c>
      <c r="B10" s="318" t="s">
        <v>103</v>
      </c>
      <c r="C10" s="321" t="s">
        <v>92</v>
      </c>
      <c r="D10" s="322" t="s">
        <v>52</v>
      </c>
      <c r="E10" s="319">
        <v>15</v>
      </c>
      <c r="F10" s="319">
        <v>4.6100000000000003</v>
      </c>
      <c r="G10" s="325">
        <v>10.39</v>
      </c>
      <c r="H10" s="360"/>
      <c r="I10" s="318"/>
      <c r="J10" s="319"/>
      <c r="K10" s="342"/>
      <c r="L10" s="346"/>
      <c r="M10" s="318"/>
      <c r="N10" s="323"/>
      <c r="O10" s="319"/>
      <c r="P10" s="319"/>
      <c r="Q10" s="319"/>
      <c r="R10" s="319"/>
      <c r="S10" s="325"/>
      <c r="T10" s="804"/>
      <c r="U10" s="804"/>
      <c r="V10" s="805"/>
    </row>
    <row r="11" spans="1:23" s="320" customFormat="1" ht="16.8" x14ac:dyDescent="0.3">
      <c r="A11" s="341">
        <v>45407</v>
      </c>
      <c r="B11" s="318" t="s">
        <v>194</v>
      </c>
      <c r="C11" s="321" t="s">
        <v>92</v>
      </c>
      <c r="D11" s="322" t="s">
        <v>52</v>
      </c>
      <c r="E11" s="319">
        <v>15</v>
      </c>
      <c r="F11" s="319">
        <v>3.61</v>
      </c>
      <c r="G11" s="325">
        <v>11.39</v>
      </c>
      <c r="H11" s="360"/>
      <c r="I11" s="318"/>
      <c r="J11" s="319"/>
      <c r="K11" s="342"/>
      <c r="L11" s="346"/>
      <c r="M11" s="318"/>
      <c r="N11" s="323"/>
      <c r="O11" s="319"/>
      <c r="P11" s="319"/>
      <c r="Q11" s="319"/>
      <c r="R11" s="319"/>
      <c r="S11" s="325"/>
      <c r="T11" s="804"/>
      <c r="U11" s="804"/>
      <c r="V11" s="805"/>
    </row>
    <row r="12" spans="1:23" s="320" customFormat="1" ht="16.8" x14ac:dyDescent="0.3">
      <c r="A12" s="341">
        <v>45407</v>
      </c>
      <c r="B12" s="318" t="s">
        <v>194</v>
      </c>
      <c r="C12" s="321" t="s">
        <v>92</v>
      </c>
      <c r="D12" s="322" t="s">
        <v>52</v>
      </c>
      <c r="E12" s="319">
        <v>13</v>
      </c>
      <c r="F12" s="319">
        <v>1.61</v>
      </c>
      <c r="G12" s="325">
        <v>11.39</v>
      </c>
      <c r="H12" s="360"/>
      <c r="I12" s="318"/>
      <c r="J12" s="319">
        <v>4.3899999999999997</v>
      </c>
      <c r="K12" s="342">
        <v>0.43148866414679971</v>
      </c>
      <c r="L12" s="346">
        <v>7.0000000000000009</v>
      </c>
      <c r="M12" s="318"/>
      <c r="N12" s="323"/>
      <c r="O12" s="319"/>
      <c r="P12" s="319">
        <v>1.8942352356044505</v>
      </c>
      <c r="Q12" s="319"/>
      <c r="R12" s="319">
        <v>0.441000000000001</v>
      </c>
      <c r="S12" s="325"/>
      <c r="T12" s="804">
        <v>395957.47399999999</v>
      </c>
      <c r="U12" s="804">
        <v>6699641.6370000001</v>
      </c>
      <c r="V12" s="805">
        <v>1369.787</v>
      </c>
    </row>
    <row r="13" spans="1:23" s="320" customFormat="1" ht="16.8" x14ac:dyDescent="0.3">
      <c r="A13" s="341">
        <v>45551</v>
      </c>
      <c r="B13" s="318" t="s">
        <v>186</v>
      </c>
      <c r="C13" s="321" t="s">
        <v>92</v>
      </c>
      <c r="D13" s="322" t="s">
        <v>59</v>
      </c>
      <c r="E13" s="319">
        <v>9.15</v>
      </c>
      <c r="F13" s="319">
        <v>1.61</v>
      </c>
      <c r="G13" s="325">
        <v>7.54</v>
      </c>
      <c r="H13" s="360"/>
      <c r="I13" s="318"/>
      <c r="J13" s="319">
        <v>0.87</v>
      </c>
      <c r="K13" s="342">
        <v>0.5302705789962161</v>
      </c>
      <c r="L13" s="346">
        <v>6.67</v>
      </c>
      <c r="M13" s="318"/>
      <c r="N13" s="323"/>
      <c r="O13" s="319"/>
      <c r="P13" s="319"/>
      <c r="Q13" s="319">
        <v>0.461335403726708</v>
      </c>
      <c r="R13" s="319"/>
      <c r="S13" s="325"/>
      <c r="T13" s="804">
        <v>395951.071</v>
      </c>
      <c r="U13" s="804">
        <v>6699639.4119999995</v>
      </c>
      <c r="V13" s="805">
        <v>1365.9259999999999</v>
      </c>
    </row>
    <row r="14" spans="1:23" s="320" customFormat="1" ht="14.25" customHeight="1" x14ac:dyDescent="0.3">
      <c r="A14" s="341">
        <v>45551</v>
      </c>
      <c r="B14" s="318" t="s">
        <v>186</v>
      </c>
      <c r="C14" s="321" t="s">
        <v>92</v>
      </c>
      <c r="D14" s="322" t="s">
        <v>59</v>
      </c>
      <c r="E14" s="319">
        <v>11</v>
      </c>
      <c r="F14" s="319">
        <v>3.46</v>
      </c>
      <c r="G14" s="325">
        <v>7.54</v>
      </c>
      <c r="H14" s="360"/>
      <c r="I14" s="318"/>
      <c r="J14" s="319"/>
      <c r="K14" s="342"/>
      <c r="L14" s="346"/>
      <c r="M14" s="318"/>
      <c r="N14" s="323"/>
      <c r="O14" s="319"/>
      <c r="P14" s="319"/>
      <c r="Q14" s="319"/>
      <c r="R14" s="319"/>
      <c r="S14" s="325"/>
      <c r="T14" s="804"/>
      <c r="U14" s="804"/>
      <c r="V14" s="805"/>
    </row>
    <row r="15" spans="1:23" s="320" customFormat="1" ht="14.25" customHeight="1" x14ac:dyDescent="0.3">
      <c r="A15" s="341">
        <v>45785</v>
      </c>
      <c r="B15" s="318" t="s">
        <v>200</v>
      </c>
      <c r="C15" s="321" t="s">
        <v>92</v>
      </c>
      <c r="D15" s="322" t="s">
        <v>52</v>
      </c>
      <c r="E15" s="319" t="s">
        <v>61</v>
      </c>
      <c r="F15" s="319"/>
      <c r="G15" s="325"/>
      <c r="H15" s="360"/>
      <c r="I15" s="318"/>
      <c r="J15" s="319"/>
      <c r="K15" s="342"/>
      <c r="L15" s="346"/>
      <c r="M15" s="318"/>
      <c r="N15" s="323"/>
      <c r="O15" s="319"/>
      <c r="P15" s="319"/>
      <c r="Q15" s="319"/>
      <c r="R15" s="319"/>
      <c r="S15" s="325"/>
      <c r="T15" s="804"/>
      <c r="U15" s="804"/>
      <c r="V15" s="805"/>
    </row>
    <row r="16" spans="1:23" s="169" customFormat="1" ht="16.8" x14ac:dyDescent="0.3">
      <c r="A16" s="161"/>
      <c r="B16" s="161"/>
      <c r="C16" s="162"/>
      <c r="D16" s="163"/>
      <c r="E16" s="164"/>
      <c r="F16" s="164"/>
      <c r="G16" s="167"/>
      <c r="H16" s="166"/>
      <c r="I16" s="161"/>
      <c r="J16" s="161"/>
      <c r="K16" s="162"/>
      <c r="L16" s="163"/>
      <c r="M16" s="161"/>
      <c r="N16" s="167"/>
      <c r="O16" s="164"/>
      <c r="P16" s="164"/>
      <c r="Q16" s="164"/>
      <c r="R16" s="164"/>
      <c r="S16" s="165"/>
      <c r="T16" s="802"/>
      <c r="U16" s="802"/>
      <c r="V16" s="803"/>
    </row>
    <row r="17" spans="1:23" s="607" customFormat="1" ht="16.8" x14ac:dyDescent="0.3">
      <c r="A17" s="608">
        <v>45407</v>
      </c>
      <c r="B17" s="605" t="s">
        <v>103</v>
      </c>
      <c r="C17" s="798" t="s">
        <v>163</v>
      </c>
      <c r="D17" s="798" t="s">
        <v>52</v>
      </c>
      <c r="E17" s="606">
        <v>10</v>
      </c>
      <c r="F17" s="606">
        <v>-2.0699999999999998</v>
      </c>
      <c r="G17" s="799">
        <v>12.07</v>
      </c>
      <c r="H17" s="800"/>
      <c r="I17" s="605"/>
      <c r="J17" s="605">
        <v>4.3899999999999997</v>
      </c>
      <c r="K17" s="797">
        <v>0.43148866414679971</v>
      </c>
      <c r="L17" s="797">
        <v>7.6800000000000006</v>
      </c>
      <c r="M17" s="605"/>
      <c r="N17" s="801"/>
      <c r="O17" s="606"/>
      <c r="P17" s="606">
        <v>1.8942352356044505</v>
      </c>
      <c r="Q17" s="606"/>
      <c r="R17" s="606"/>
      <c r="S17" s="799"/>
      <c r="T17" s="806">
        <v>395968.07799999998</v>
      </c>
      <c r="U17" s="806">
        <v>6699655.7580000004</v>
      </c>
      <c r="V17" s="807">
        <v>1372.125</v>
      </c>
    </row>
    <row r="18" spans="1:23" s="607" customFormat="1" ht="16.8" x14ac:dyDescent="0.3">
      <c r="A18" s="608">
        <v>45551</v>
      </c>
      <c r="B18" s="605" t="s">
        <v>103</v>
      </c>
      <c r="C18" s="798" t="s">
        <v>163</v>
      </c>
      <c r="D18" s="798" t="s">
        <v>59</v>
      </c>
      <c r="E18" s="606">
        <v>10</v>
      </c>
      <c r="F18" s="606">
        <v>1.53</v>
      </c>
      <c r="G18" s="799">
        <v>8.4700000000000006</v>
      </c>
      <c r="H18" s="800"/>
      <c r="I18" s="605"/>
      <c r="J18" s="606">
        <v>0.87</v>
      </c>
      <c r="K18" s="797">
        <v>0.5302705789962161</v>
      </c>
      <c r="L18" s="797">
        <v>7.6000000000000005</v>
      </c>
      <c r="M18" s="605"/>
      <c r="N18" s="801"/>
      <c r="O18" s="606">
        <v>-1.4328998318777426</v>
      </c>
      <c r="P18" s="606"/>
      <c r="Q18" s="606">
        <v>0.461335403726708</v>
      </c>
      <c r="R18" s="606"/>
      <c r="S18" s="799">
        <v>0</v>
      </c>
      <c r="T18" s="806">
        <v>395962.49400000001</v>
      </c>
      <c r="U18" s="806">
        <v>6699653.6430000002</v>
      </c>
      <c r="V18" s="807">
        <v>1365.8689999999999</v>
      </c>
    </row>
    <row r="19" spans="1:23" s="607" customFormat="1" ht="16.8" x14ac:dyDescent="0.3">
      <c r="A19" s="608">
        <v>45551</v>
      </c>
      <c r="B19" s="605" t="s">
        <v>103</v>
      </c>
      <c r="C19" s="798" t="s">
        <v>163</v>
      </c>
      <c r="D19" s="798" t="s">
        <v>59</v>
      </c>
      <c r="E19" s="606">
        <v>13</v>
      </c>
      <c r="F19" s="606">
        <v>4.5299999999999994</v>
      </c>
      <c r="G19" s="799">
        <v>8.4700000000000006</v>
      </c>
      <c r="H19" s="800"/>
      <c r="I19" s="605"/>
      <c r="J19" s="606"/>
      <c r="K19" s="797"/>
      <c r="L19" s="797"/>
      <c r="M19" s="605"/>
      <c r="N19" s="801"/>
      <c r="O19" s="606"/>
      <c r="P19" s="606"/>
      <c r="Q19" s="606"/>
      <c r="R19" s="606"/>
      <c r="S19" s="799"/>
      <c r="T19" s="806"/>
      <c r="U19" s="806"/>
      <c r="V19" s="807"/>
    </row>
    <row r="20" spans="1:23" s="607" customFormat="1" ht="16.8" x14ac:dyDescent="0.3">
      <c r="A20" s="608">
        <v>45659</v>
      </c>
      <c r="B20" s="605" t="s">
        <v>200</v>
      </c>
      <c r="C20" s="798" t="s">
        <v>163</v>
      </c>
      <c r="D20" s="798" t="s">
        <v>89</v>
      </c>
      <c r="E20" s="606">
        <v>13</v>
      </c>
      <c r="F20" s="606">
        <v>0.51</v>
      </c>
      <c r="G20" s="799">
        <f>E20-F20</f>
        <v>12.49</v>
      </c>
      <c r="H20" s="800"/>
      <c r="I20" s="605"/>
      <c r="J20" s="606"/>
      <c r="K20" s="797"/>
      <c r="L20" s="915"/>
      <c r="M20" s="605"/>
      <c r="N20" s="801"/>
      <c r="O20" s="606"/>
      <c r="P20" s="606"/>
      <c r="Q20" s="606"/>
      <c r="R20" s="606"/>
      <c r="S20" s="799"/>
      <c r="T20" s="806"/>
      <c r="U20" s="806"/>
      <c r="V20" s="807"/>
    </row>
    <row r="21" spans="1:23" s="607" customFormat="1" ht="16.8" x14ac:dyDescent="0.3">
      <c r="A21" s="608">
        <v>45659</v>
      </c>
      <c r="B21" s="605" t="s">
        <v>200</v>
      </c>
      <c r="C21" s="798" t="s">
        <v>163</v>
      </c>
      <c r="D21" s="798" t="s">
        <v>89</v>
      </c>
      <c r="E21" s="606">
        <v>17</v>
      </c>
      <c r="F21" s="606">
        <f>E21-G21</f>
        <v>4.51</v>
      </c>
      <c r="G21" s="799">
        <f>G20</f>
        <v>12.49</v>
      </c>
      <c r="H21" s="800"/>
      <c r="I21" s="605"/>
      <c r="J21" s="606"/>
      <c r="K21" s="797"/>
      <c r="L21" s="915"/>
      <c r="M21" s="605"/>
      <c r="N21" s="801"/>
      <c r="O21" s="606"/>
      <c r="P21" s="606"/>
      <c r="Q21" s="606"/>
      <c r="R21" s="606"/>
      <c r="S21" s="799"/>
      <c r="T21" s="806"/>
      <c r="U21" s="806"/>
      <c r="V21" s="807"/>
    </row>
    <row r="22" spans="1:23" s="607" customFormat="1" ht="16.8" x14ac:dyDescent="0.3">
      <c r="A22" s="608">
        <v>45785</v>
      </c>
      <c r="B22" s="605" t="s">
        <v>200</v>
      </c>
      <c r="C22" s="798" t="s">
        <v>163</v>
      </c>
      <c r="D22" s="798" t="s">
        <v>52</v>
      </c>
      <c r="E22" s="606" t="s">
        <v>61</v>
      </c>
      <c r="F22" s="606"/>
      <c r="G22" s="799"/>
      <c r="H22" s="800"/>
      <c r="I22" s="605"/>
      <c r="J22" s="606"/>
      <c r="K22" s="797"/>
      <c r="L22" s="915"/>
      <c r="M22" s="605"/>
      <c r="N22" s="801"/>
      <c r="O22" s="606"/>
      <c r="P22" s="606"/>
      <c r="Q22" s="606"/>
      <c r="R22" s="606"/>
      <c r="S22" s="799"/>
      <c r="T22" s="806"/>
      <c r="U22" s="806"/>
      <c r="V22" s="807"/>
    </row>
    <row r="23" spans="1:23" s="169" customFormat="1" ht="14.4" x14ac:dyDescent="0.3">
      <c r="A23" s="161"/>
      <c r="B23" s="161"/>
      <c r="C23" s="162"/>
      <c r="D23" s="162"/>
      <c r="E23" s="164"/>
      <c r="F23" s="164"/>
      <c r="G23" s="167"/>
      <c r="H23" s="166"/>
      <c r="I23" s="161"/>
      <c r="J23" s="161"/>
      <c r="K23" s="162"/>
      <c r="L23" s="163"/>
      <c r="M23" s="161"/>
      <c r="N23" s="167"/>
      <c r="O23" s="164"/>
      <c r="P23" s="164"/>
      <c r="Q23" s="164"/>
      <c r="R23" s="164"/>
      <c r="S23" s="165"/>
      <c r="T23" s="161"/>
      <c r="U23" s="161"/>
      <c r="V23" s="168"/>
    </row>
    <row r="24" spans="1:23" s="169" customFormat="1" ht="14.4" x14ac:dyDescent="0.3">
      <c r="A24" s="874">
        <v>45785</v>
      </c>
      <c r="B24" s="871" t="s">
        <v>200</v>
      </c>
      <c r="C24" s="912" t="s">
        <v>250</v>
      </c>
      <c r="D24" s="913" t="s">
        <v>52</v>
      </c>
      <c r="E24" s="872">
        <v>10</v>
      </c>
      <c r="F24" s="872">
        <v>0.42</v>
      </c>
      <c r="G24" s="908">
        <f>E24-F24</f>
        <v>9.58</v>
      </c>
      <c r="H24" s="910"/>
      <c r="I24" s="871"/>
      <c r="J24" s="871">
        <f>SiteTU_PitCore_20250508!I3</f>
        <v>7.17</v>
      </c>
      <c r="K24" s="914">
        <f>SiteTU_PitCore_20250508!I4</f>
        <v>0.45692150916553409</v>
      </c>
      <c r="L24" s="919">
        <f>G24-J24</f>
        <v>2.41</v>
      </c>
      <c r="M24" s="871"/>
      <c r="N24" s="909"/>
      <c r="O24" s="872"/>
      <c r="P24" s="872">
        <f>J24*K24</f>
        <v>3.2761272207168792</v>
      </c>
      <c r="Q24" s="872"/>
      <c r="R24" s="872"/>
      <c r="S24" s="908"/>
      <c r="T24" s="871">
        <v>395984.45600000001</v>
      </c>
      <c r="U24" s="871">
        <v>6699652.727</v>
      </c>
      <c r="V24" s="911">
        <v>1372.623</v>
      </c>
      <c r="W24" s="873"/>
    </row>
    <row r="25" spans="1:23" s="169" customFormat="1" ht="14.4" x14ac:dyDescent="0.3">
      <c r="A25" s="874">
        <v>45785</v>
      </c>
      <c r="B25" s="871" t="s">
        <v>200</v>
      </c>
      <c r="C25" s="912" t="s">
        <v>250</v>
      </c>
      <c r="D25" s="913" t="s">
        <v>52</v>
      </c>
      <c r="E25" s="872">
        <v>10</v>
      </c>
      <c r="F25" s="872">
        <v>0.42</v>
      </c>
      <c r="G25" s="908">
        <f>E25-F25</f>
        <v>9.58</v>
      </c>
      <c r="H25" s="910"/>
      <c r="I25" s="871"/>
      <c r="J25" s="871"/>
      <c r="K25" s="912"/>
      <c r="L25" s="913"/>
      <c r="M25" s="871"/>
      <c r="N25" s="909"/>
      <c r="O25" s="872"/>
      <c r="P25" s="872"/>
      <c r="Q25" s="872"/>
      <c r="R25" s="872"/>
      <c r="S25" s="908"/>
      <c r="T25" s="871">
        <v>395984.45600000001</v>
      </c>
      <c r="U25" s="871">
        <v>6699652.727</v>
      </c>
      <c r="V25" s="911">
        <v>1372.623</v>
      </c>
      <c r="W25" s="873"/>
    </row>
    <row r="26" spans="1:23" s="169" customFormat="1" ht="14.4" x14ac:dyDescent="0.3">
      <c r="A26" s="871"/>
      <c r="B26" s="871"/>
      <c r="C26" s="912"/>
      <c r="D26" s="913"/>
      <c r="E26" s="872"/>
      <c r="F26" s="872"/>
      <c r="G26" s="909"/>
      <c r="H26" s="910"/>
      <c r="I26" s="871"/>
      <c r="J26" s="871"/>
      <c r="K26" s="912"/>
      <c r="L26" s="913"/>
      <c r="M26" s="871"/>
      <c r="N26" s="909"/>
      <c r="O26" s="872"/>
      <c r="P26" s="872"/>
      <c r="Q26" s="872"/>
      <c r="R26" s="872"/>
      <c r="S26" s="908"/>
      <c r="T26" s="871"/>
      <c r="U26" s="871"/>
      <c r="V26" s="911"/>
      <c r="W26" s="873"/>
    </row>
    <row r="27" spans="1:23" s="169" customFormat="1" ht="14.4" x14ac:dyDescent="0.3">
      <c r="A27" s="871"/>
      <c r="B27" s="871"/>
      <c r="C27" s="912"/>
      <c r="D27" s="913"/>
      <c r="E27" s="872"/>
      <c r="F27" s="872"/>
      <c r="G27" s="909"/>
      <c r="H27" s="910"/>
      <c r="I27" s="871"/>
      <c r="J27" s="871"/>
      <c r="K27" s="912"/>
      <c r="L27" s="913"/>
      <c r="M27" s="871"/>
      <c r="N27" s="909"/>
      <c r="O27" s="872"/>
      <c r="P27" s="872"/>
      <c r="Q27" s="872"/>
      <c r="R27" s="872"/>
      <c r="S27" s="908"/>
      <c r="T27" s="871"/>
      <c r="U27" s="871"/>
      <c r="V27" s="911"/>
      <c r="W27" s="873"/>
    </row>
    <row r="28" spans="1:23" s="169" customFormat="1" ht="14.4" x14ac:dyDescent="0.3">
      <c r="A28" s="871"/>
      <c r="B28" s="871"/>
      <c r="C28" s="912"/>
      <c r="D28" s="913"/>
      <c r="E28" s="872"/>
      <c r="F28" s="872"/>
      <c r="G28" s="909"/>
      <c r="H28" s="910"/>
      <c r="I28" s="871"/>
      <c r="J28" s="871"/>
      <c r="K28" s="912"/>
      <c r="L28" s="913"/>
      <c r="M28" s="871"/>
      <c r="N28" s="909"/>
      <c r="O28" s="872"/>
      <c r="P28" s="872"/>
      <c r="Q28" s="872"/>
      <c r="R28" s="872"/>
      <c r="S28" s="908"/>
      <c r="T28" s="871"/>
      <c r="U28" s="871"/>
      <c r="V28" s="911"/>
      <c r="W28" s="873"/>
    </row>
    <row r="29" spans="1:23" s="107" customFormat="1" ht="15" thickBot="1" x14ac:dyDescent="0.35">
      <c r="A29" s="136"/>
      <c r="B29" s="136"/>
      <c r="C29" s="136"/>
      <c r="D29" s="136"/>
      <c r="E29" s="137"/>
      <c r="F29" s="137"/>
      <c r="G29" s="136"/>
      <c r="H29" s="136"/>
      <c r="I29" s="136"/>
      <c r="J29" s="136"/>
      <c r="K29" s="136"/>
      <c r="L29" s="136"/>
      <c r="M29" s="136"/>
      <c r="N29" s="136"/>
      <c r="O29" s="136"/>
      <c r="P29" s="136"/>
      <c r="Q29" s="136"/>
      <c r="R29" s="136"/>
      <c r="S29" s="136"/>
      <c r="T29" s="136"/>
      <c r="U29" s="136"/>
    </row>
    <row r="30" spans="1:23" ht="14.4" customHeight="1" x14ac:dyDescent="0.3">
      <c r="A30" s="813" t="s">
        <v>37</v>
      </c>
      <c r="B30" s="814"/>
      <c r="C30" s="936" t="s">
        <v>38</v>
      </c>
      <c r="D30" s="937"/>
      <c r="E30" s="126" t="s">
        <v>39</v>
      </c>
      <c r="F30" s="74"/>
      <c r="G30" s="73" t="s">
        <v>40</v>
      </c>
      <c r="H30" s="74"/>
      <c r="I30" s="99" t="s">
        <v>41</v>
      </c>
      <c r="Q30" s="69"/>
      <c r="R30" s="68"/>
      <c r="S30" s="68"/>
      <c r="T30" s="68"/>
      <c r="U30" s="72"/>
    </row>
    <row r="31" spans="1:23" ht="14.4" customHeight="1" x14ac:dyDescent="0.3">
      <c r="A31" s="815"/>
      <c r="B31" s="816"/>
      <c r="C31" s="824" t="s">
        <v>42</v>
      </c>
      <c r="D31" s="76" t="s">
        <v>43</v>
      </c>
      <c r="E31" s="127">
        <f>A18</f>
        <v>45551</v>
      </c>
      <c r="F31" s="77" t="s">
        <v>44</v>
      </c>
      <c r="G31" s="127">
        <f>A24</f>
        <v>45785</v>
      </c>
      <c r="H31" s="77" t="s">
        <v>44</v>
      </c>
      <c r="I31" s="79" t="s">
        <v>54</v>
      </c>
      <c r="Q31" s="69"/>
      <c r="R31" s="80"/>
      <c r="S31" s="80"/>
      <c r="T31" s="68"/>
      <c r="U31" s="72"/>
    </row>
    <row r="32" spans="1:23" ht="14.4" x14ac:dyDescent="0.3">
      <c r="A32" s="81"/>
      <c r="B32" s="82" t="s">
        <v>45</v>
      </c>
      <c r="C32" s="844">
        <f>P24</f>
        <v>3.2761272207168792</v>
      </c>
      <c r="D32" s="83"/>
      <c r="E32" s="83"/>
      <c r="F32" s="84"/>
      <c r="G32" s="85"/>
      <c r="H32" s="83"/>
      <c r="I32" s="100"/>
      <c r="Q32" s="69"/>
      <c r="R32" s="80"/>
      <c r="S32" s="80"/>
      <c r="T32" s="68"/>
      <c r="U32" s="72"/>
    </row>
    <row r="33" spans="1:21" ht="14.4" x14ac:dyDescent="0.3">
      <c r="A33" s="81"/>
      <c r="B33" s="82" t="s">
        <v>46</v>
      </c>
      <c r="C33" s="845" t="s">
        <v>54</v>
      </c>
      <c r="D33" s="83"/>
      <c r="E33" s="83"/>
      <c r="F33" s="84"/>
      <c r="G33" s="85"/>
      <c r="H33" s="83"/>
      <c r="I33" s="100"/>
      <c r="Q33" s="69"/>
      <c r="R33" s="80"/>
      <c r="S33" s="80"/>
      <c r="T33" s="68"/>
      <c r="U33" s="72"/>
    </row>
    <row r="34" spans="1:21" ht="14.4" x14ac:dyDescent="0.3">
      <c r="A34" s="81"/>
      <c r="B34" s="82" t="s">
        <v>47</v>
      </c>
      <c r="C34" s="845" t="s">
        <v>54</v>
      </c>
      <c r="D34" s="83"/>
      <c r="E34" s="83"/>
      <c r="F34" s="84"/>
      <c r="G34" s="85"/>
      <c r="H34" s="83"/>
      <c r="I34" s="100"/>
      <c r="Q34" s="69"/>
      <c r="R34" s="80"/>
      <c r="S34" s="80"/>
      <c r="T34" s="68"/>
      <c r="U34" s="72"/>
    </row>
    <row r="35" spans="1:21" ht="14.4" x14ac:dyDescent="0.3">
      <c r="A35" s="81"/>
      <c r="B35" s="87" t="s">
        <v>48</v>
      </c>
      <c r="C35" s="845">
        <f>S18</f>
        <v>0</v>
      </c>
      <c r="D35" s="83"/>
      <c r="E35" s="83"/>
      <c r="F35" s="84"/>
      <c r="G35" s="83"/>
      <c r="H35" s="83"/>
      <c r="I35" s="100"/>
      <c r="Q35" s="69"/>
      <c r="R35" s="80"/>
      <c r="S35" s="80"/>
      <c r="T35" s="68"/>
      <c r="U35" s="72"/>
    </row>
    <row r="36" spans="1:21" ht="14.4" x14ac:dyDescent="0.3">
      <c r="A36" s="81"/>
      <c r="B36" s="88" t="s">
        <v>49</v>
      </c>
      <c r="C36" s="845" t="s">
        <v>54</v>
      </c>
      <c r="D36" s="83"/>
      <c r="E36" s="83"/>
      <c r="F36" s="84"/>
      <c r="G36" s="83"/>
      <c r="H36" s="83"/>
      <c r="I36" s="100"/>
      <c r="Q36" s="69"/>
      <c r="R36" s="80"/>
      <c r="S36" s="80"/>
      <c r="T36" s="68"/>
      <c r="U36" s="72"/>
    </row>
    <row r="37" spans="1:21" ht="15" thickBot="1" x14ac:dyDescent="0.35">
      <c r="A37" s="89"/>
      <c r="B37" s="90" t="s">
        <v>50</v>
      </c>
      <c r="C37" s="846" t="s">
        <v>54</v>
      </c>
      <c r="D37" s="91"/>
      <c r="E37" s="91"/>
      <c r="F37" s="92"/>
      <c r="G37" s="93"/>
      <c r="H37" s="93"/>
      <c r="I37" s="101"/>
      <c r="Q37" s="69"/>
      <c r="R37" s="80"/>
      <c r="S37" s="80"/>
      <c r="T37" s="68"/>
      <c r="U37" s="72"/>
    </row>
    <row r="38" spans="1:21" ht="14.4" x14ac:dyDescent="0.3">
      <c r="A38" s="72"/>
      <c r="B38" s="72"/>
      <c r="C38" s="72"/>
      <c r="D38" s="72"/>
      <c r="E38" s="72"/>
      <c r="F38" s="72"/>
      <c r="G38" s="72"/>
      <c r="H38" s="72"/>
      <c r="I38" s="72"/>
      <c r="J38" s="72"/>
      <c r="K38" s="72"/>
      <c r="L38" s="72"/>
      <c r="M38" s="72"/>
      <c r="N38" s="72"/>
      <c r="O38" s="72"/>
      <c r="P38" s="72"/>
      <c r="Q38" s="68"/>
      <c r="R38" s="68"/>
      <c r="S38" s="68"/>
      <c r="T38" s="68"/>
      <c r="U38" s="72"/>
    </row>
  </sheetData>
  <mergeCells count="1">
    <mergeCell ref="C30:D30"/>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88"/>
  <sheetViews>
    <sheetView topLeftCell="A22" zoomScale="76" zoomScaleNormal="80" workbookViewId="0">
      <selection activeCell="B62" sqref="B62"/>
    </sheetView>
  </sheetViews>
  <sheetFormatPr defaultColWidth="17.44140625" defaultRowHeight="15.75" customHeight="1" x14ac:dyDescent="0.3"/>
  <cols>
    <col min="1" max="1" width="12.44140625" style="2" customWidth="1"/>
    <col min="2" max="2" width="27.44140625" style="2" customWidth="1"/>
    <col min="3" max="3" width="11.5546875" style="2" bestFit="1" customWidth="1"/>
    <col min="4" max="4" width="20" style="2" bestFit="1" customWidth="1"/>
    <col min="5" max="5" width="11.6640625" style="2" bestFit="1" customWidth="1"/>
    <col min="6" max="7" width="13.6640625" style="2" bestFit="1" customWidth="1"/>
    <col min="8" max="8" width="14.5546875" style="2" bestFit="1" customWidth="1"/>
    <col min="9" max="9" width="17.5546875" style="2" bestFit="1" customWidth="1"/>
    <col min="10" max="10" width="19.6640625" style="2" bestFit="1" customWidth="1"/>
    <col min="11" max="11" width="16.5546875" style="2" bestFit="1" customWidth="1"/>
    <col min="12" max="12" width="18" style="2" customWidth="1"/>
    <col min="13" max="13" width="22.109375" style="2" customWidth="1"/>
    <col min="14" max="14" width="11.5546875" style="2" bestFit="1" customWidth="1"/>
    <col min="15" max="15" width="11.5546875" style="3" bestFit="1" customWidth="1"/>
    <col min="16" max="16" width="8.5546875" style="3" bestFit="1" customWidth="1"/>
    <col min="17" max="17" width="8" style="3" bestFit="1" customWidth="1"/>
    <col min="18" max="18" width="14.6640625" style="3" bestFit="1" customWidth="1"/>
    <col min="19" max="19" width="20.6640625" style="3" bestFit="1" customWidth="1"/>
    <col min="20" max="20" width="21.109375" style="2" bestFit="1" customWidth="1"/>
    <col min="21" max="21" width="12" style="2" bestFit="1" customWidth="1"/>
    <col min="22" max="16384" width="17.44140625" style="2"/>
  </cols>
  <sheetData>
    <row r="1" spans="1:23" ht="14.4" x14ac:dyDescent="0.3">
      <c r="A1" s="5"/>
      <c r="B1" s="6"/>
      <c r="C1" s="7"/>
      <c r="D1" s="8"/>
      <c r="E1" s="9"/>
      <c r="F1" s="10"/>
      <c r="G1" s="11"/>
      <c r="H1" s="12"/>
      <c r="I1" s="11"/>
      <c r="J1" s="13"/>
      <c r="K1" s="10"/>
      <c r="L1" s="14"/>
      <c r="M1" s="15"/>
      <c r="N1" s="11"/>
      <c r="O1" s="847"/>
      <c r="P1" s="347"/>
      <c r="Q1" s="347"/>
      <c r="R1" s="347"/>
      <c r="S1" s="769"/>
      <c r="T1" s="938" t="s">
        <v>9</v>
      </c>
      <c r="U1" s="939"/>
      <c r="V1" s="940"/>
      <c r="W1" s="19"/>
    </row>
    <row r="2" spans="1:23" ht="14.4" x14ac:dyDescent="0.3">
      <c r="A2" s="20"/>
      <c r="B2" s="21"/>
      <c r="C2" s="22"/>
      <c r="D2" s="23"/>
      <c r="E2" s="808"/>
      <c r="F2" s="809"/>
      <c r="G2" s="24"/>
      <c r="H2" s="25"/>
      <c r="I2" s="24"/>
      <c r="J2" s="26"/>
      <c r="K2" s="27"/>
      <c r="L2" s="28"/>
      <c r="M2" s="29"/>
      <c r="N2" s="26"/>
      <c r="O2" s="848"/>
      <c r="S2" s="715"/>
      <c r="T2" s="941" t="s">
        <v>10</v>
      </c>
      <c r="U2" s="942"/>
      <c r="V2" s="810"/>
      <c r="W2" s="30"/>
    </row>
    <row r="3" spans="1:23" ht="14.4" x14ac:dyDescent="0.3">
      <c r="A3" s="20"/>
      <c r="B3" s="21"/>
      <c r="C3" s="22"/>
      <c r="D3" s="31"/>
      <c r="E3" s="927" t="s">
        <v>11</v>
      </c>
      <c r="F3" s="928"/>
      <c r="G3" s="929"/>
      <c r="H3" s="32"/>
      <c r="I3" s="809"/>
      <c r="J3" s="26"/>
      <c r="K3" s="809"/>
      <c r="L3" s="33"/>
      <c r="M3" s="34"/>
      <c r="N3" s="26"/>
      <c r="O3" s="849"/>
      <c r="P3" s="97"/>
      <c r="Q3" s="97"/>
      <c r="R3" s="864"/>
      <c r="S3" s="770"/>
      <c r="T3" s="930" t="s">
        <v>12</v>
      </c>
      <c r="U3" s="931"/>
      <c r="V3" s="810"/>
      <c r="W3" s="38"/>
    </row>
    <row r="4" spans="1:23" s="52" customFormat="1" ht="39.6" x14ac:dyDescent="0.3">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850" t="s">
        <v>27</v>
      </c>
      <c r="P4" s="98" t="s">
        <v>28</v>
      </c>
      <c r="Q4" s="98" t="s">
        <v>29</v>
      </c>
      <c r="R4" s="865" t="s">
        <v>7</v>
      </c>
      <c r="S4" s="771" t="s">
        <v>8</v>
      </c>
      <c r="T4" s="50" t="s">
        <v>30</v>
      </c>
      <c r="U4" s="50" t="s">
        <v>31</v>
      </c>
      <c r="V4" s="51" t="s">
        <v>2</v>
      </c>
      <c r="W4" s="41" t="s">
        <v>32</v>
      </c>
    </row>
    <row r="5" spans="1:23" ht="15" thickBot="1" x14ac:dyDescent="0.35">
      <c r="A5" s="53" t="s">
        <v>33</v>
      </c>
      <c r="B5" s="54"/>
      <c r="C5" s="55"/>
      <c r="D5" s="56"/>
      <c r="E5" s="57" t="s">
        <v>34</v>
      </c>
      <c r="F5" s="57" t="s">
        <v>34</v>
      </c>
      <c r="G5" s="133" t="s">
        <v>34</v>
      </c>
      <c r="H5" s="134" t="s">
        <v>34</v>
      </c>
      <c r="I5" s="57" t="s">
        <v>34</v>
      </c>
      <c r="J5" s="57" t="s">
        <v>34</v>
      </c>
      <c r="K5" s="58" t="s">
        <v>35</v>
      </c>
      <c r="L5" s="59" t="s">
        <v>34</v>
      </c>
      <c r="M5" s="60" t="s">
        <v>34</v>
      </c>
      <c r="N5" s="60" t="s">
        <v>35</v>
      </c>
      <c r="O5" s="851" t="s">
        <v>36</v>
      </c>
      <c r="P5" s="348" t="s">
        <v>36</v>
      </c>
      <c r="Q5" s="348" t="s">
        <v>36</v>
      </c>
      <c r="R5" s="866" t="s">
        <v>36</v>
      </c>
      <c r="S5" s="772" t="s">
        <v>36</v>
      </c>
      <c r="T5" s="65" t="s">
        <v>34</v>
      </c>
      <c r="U5" s="65" t="s">
        <v>34</v>
      </c>
      <c r="V5" s="66" t="s">
        <v>34</v>
      </c>
      <c r="W5" s="67"/>
    </row>
    <row r="6" spans="1:23" ht="14.4" x14ac:dyDescent="0.3">
      <c r="A6" s="174">
        <v>43961</v>
      </c>
      <c r="B6" s="170" t="s">
        <v>66</v>
      </c>
      <c r="C6" s="214" t="s">
        <v>67</v>
      </c>
      <c r="D6" s="216" t="s">
        <v>52</v>
      </c>
      <c r="E6" s="171">
        <v>12.2</v>
      </c>
      <c r="F6" s="171">
        <v>0.47</v>
      </c>
      <c r="G6" s="208">
        <v>11.729999999999999</v>
      </c>
      <c r="H6" s="210"/>
      <c r="I6" s="170">
        <v>5.19</v>
      </c>
      <c r="J6" s="170" t="e">
        <v>#REF!</v>
      </c>
      <c r="K6" s="217">
        <v>0.47</v>
      </c>
      <c r="L6" s="171">
        <v>6.5399999999999983</v>
      </c>
      <c r="M6" s="170"/>
      <c r="N6" s="207"/>
      <c r="O6" s="171"/>
      <c r="P6" s="171">
        <v>2.4393000000000002</v>
      </c>
      <c r="Q6" s="171"/>
      <c r="R6" s="877"/>
      <c r="S6" s="773"/>
      <c r="T6" s="172"/>
      <c r="U6" s="172"/>
      <c r="V6" s="212"/>
      <c r="W6" s="173"/>
    </row>
    <row r="7" spans="1:23" ht="14.4" x14ac:dyDescent="0.3">
      <c r="A7" s="174">
        <v>44079</v>
      </c>
      <c r="B7" s="170" t="s">
        <v>63</v>
      </c>
      <c r="C7" s="214" t="s">
        <v>67</v>
      </c>
      <c r="D7" s="216" t="s">
        <v>52</v>
      </c>
      <c r="E7" s="171">
        <v>12.2</v>
      </c>
      <c r="F7" s="171">
        <v>4.6999999999999993</v>
      </c>
      <c r="G7" s="208">
        <v>7.5</v>
      </c>
      <c r="H7" s="210"/>
      <c r="I7" s="171" t="e">
        <v>#REF!</v>
      </c>
      <c r="J7" s="170"/>
      <c r="K7" s="217" t="e">
        <v>#REF!</v>
      </c>
      <c r="L7" s="171" t="e">
        <v>#REF!</v>
      </c>
      <c r="M7" s="170"/>
      <c r="N7" s="207"/>
      <c r="O7" s="171" t="e">
        <v>#REF!</v>
      </c>
      <c r="P7" s="171"/>
      <c r="Q7" s="171" t="e">
        <v>#REF!</v>
      </c>
      <c r="R7" s="877"/>
      <c r="S7" s="773"/>
      <c r="T7" s="172"/>
      <c r="U7" s="172"/>
      <c r="V7" s="212"/>
      <c r="W7" s="173"/>
    </row>
    <row r="8" spans="1:23" ht="14.4" x14ac:dyDescent="0.3">
      <c r="A8" s="174">
        <v>44079</v>
      </c>
      <c r="B8" s="170" t="s">
        <v>63</v>
      </c>
      <c r="C8" s="214" t="s">
        <v>67</v>
      </c>
      <c r="D8" s="216" t="s">
        <v>52</v>
      </c>
      <c r="E8" s="171">
        <v>11.5</v>
      </c>
      <c r="F8" s="171">
        <v>4</v>
      </c>
      <c r="G8" s="208">
        <v>7.5</v>
      </c>
      <c r="H8" s="210"/>
      <c r="I8" s="170"/>
      <c r="J8" s="170"/>
      <c r="K8" s="214"/>
      <c r="L8" s="170"/>
      <c r="M8" s="170"/>
      <c r="N8" s="207"/>
      <c r="O8" s="171"/>
      <c r="P8" s="171"/>
      <c r="Q8" s="171"/>
      <c r="R8" s="877"/>
      <c r="S8" s="773"/>
      <c r="T8" s="172"/>
      <c r="U8" s="172"/>
      <c r="V8" s="212"/>
      <c r="W8" s="173" t="s">
        <v>71</v>
      </c>
    </row>
    <row r="9" spans="1:23" ht="14.4" x14ac:dyDescent="0.3">
      <c r="A9" s="174">
        <v>44185</v>
      </c>
      <c r="B9" s="170" t="s">
        <v>62</v>
      </c>
      <c r="C9" s="214" t="s">
        <v>67</v>
      </c>
      <c r="D9" s="216" t="s">
        <v>52</v>
      </c>
      <c r="E9" s="171">
        <v>11.5</v>
      </c>
      <c r="F9" s="171">
        <v>0.11</v>
      </c>
      <c r="G9" s="208">
        <v>11.39</v>
      </c>
      <c r="H9" s="210"/>
      <c r="I9" s="170"/>
      <c r="J9" s="171">
        <v>3.8900000000000006</v>
      </c>
      <c r="K9" s="214"/>
      <c r="L9" s="170"/>
      <c r="M9" s="170"/>
      <c r="N9" s="207"/>
      <c r="O9" s="171"/>
      <c r="P9" s="171"/>
      <c r="Q9" s="171"/>
      <c r="R9" s="877"/>
      <c r="S9" s="773"/>
      <c r="T9" s="172"/>
      <c r="U9" s="172"/>
      <c r="V9" s="212"/>
      <c r="W9" s="173"/>
    </row>
    <row r="10" spans="1:23" ht="14.4" x14ac:dyDescent="0.3">
      <c r="A10" s="174">
        <v>44185</v>
      </c>
      <c r="B10" s="170" t="s">
        <v>62</v>
      </c>
      <c r="C10" s="214" t="s">
        <v>67</v>
      </c>
      <c r="D10" s="216" t="s">
        <v>52</v>
      </c>
      <c r="E10" s="171">
        <v>15.85</v>
      </c>
      <c r="F10" s="171">
        <v>4.4599999999999991</v>
      </c>
      <c r="G10" s="208">
        <v>11.39</v>
      </c>
      <c r="H10" s="210"/>
      <c r="I10" s="170"/>
      <c r="J10" s="170"/>
      <c r="K10" s="214"/>
      <c r="L10" s="170"/>
      <c r="M10" s="170"/>
      <c r="N10" s="207"/>
      <c r="O10" s="171"/>
      <c r="P10" s="171"/>
      <c r="Q10" s="171"/>
      <c r="R10" s="877"/>
      <c r="S10" s="773"/>
      <c r="T10" s="172"/>
      <c r="U10" s="172"/>
      <c r="V10" s="212"/>
      <c r="W10" s="173"/>
    </row>
    <row r="11" spans="1:23" ht="14.4" x14ac:dyDescent="0.3">
      <c r="A11" s="174">
        <v>44221</v>
      </c>
      <c r="B11" s="170" t="s">
        <v>73</v>
      </c>
      <c r="C11" s="214" t="s">
        <v>67</v>
      </c>
      <c r="D11" s="216" t="s">
        <v>52</v>
      </c>
      <c r="E11" s="171">
        <v>15.85</v>
      </c>
      <c r="F11" s="171">
        <v>1.45</v>
      </c>
      <c r="G11" s="208">
        <v>14.4</v>
      </c>
      <c r="H11" s="210"/>
      <c r="I11" s="170"/>
      <c r="J11" s="170"/>
      <c r="K11" s="214"/>
      <c r="L11" s="170"/>
      <c r="M11" s="170"/>
      <c r="N11" s="207"/>
      <c r="O11" s="171"/>
      <c r="P11" s="171"/>
      <c r="Q11" s="171"/>
      <c r="R11" s="877"/>
      <c r="S11" s="773"/>
      <c r="T11" s="172"/>
      <c r="U11" s="172"/>
      <c r="V11" s="212"/>
      <c r="W11" s="173" t="s">
        <v>74</v>
      </c>
    </row>
    <row r="12" spans="1:23" ht="15" x14ac:dyDescent="0.35">
      <c r="A12" s="174">
        <v>44221</v>
      </c>
      <c r="B12" s="170" t="s">
        <v>73</v>
      </c>
      <c r="C12" s="214" t="s">
        <v>67</v>
      </c>
      <c r="D12" s="216" t="s">
        <v>52</v>
      </c>
      <c r="E12" s="171">
        <v>15.850000000000001</v>
      </c>
      <c r="F12" s="171">
        <v>1.6</v>
      </c>
      <c r="G12" s="208">
        <v>14.250000000000002</v>
      </c>
      <c r="H12" s="210"/>
      <c r="I12" s="170"/>
      <c r="J12" s="170"/>
      <c r="K12" s="214"/>
      <c r="L12" s="170"/>
      <c r="M12" s="170"/>
      <c r="N12" s="207"/>
      <c r="O12" s="171"/>
      <c r="P12" s="171"/>
      <c r="Q12" s="171"/>
      <c r="R12" s="877"/>
      <c r="S12" s="773"/>
      <c r="T12" s="247"/>
      <c r="U12" s="247"/>
      <c r="V12" s="250"/>
      <c r="W12" s="173"/>
    </row>
    <row r="13" spans="1:23" ht="15" x14ac:dyDescent="0.35">
      <c r="A13" s="174">
        <v>44221</v>
      </c>
      <c r="B13" s="170" t="s">
        <v>73</v>
      </c>
      <c r="C13" s="214" t="s">
        <v>67</v>
      </c>
      <c r="D13" s="216" t="s">
        <v>52</v>
      </c>
      <c r="E13" s="171">
        <v>18.900000000000002</v>
      </c>
      <c r="F13" s="171">
        <v>4.6500000000000021</v>
      </c>
      <c r="G13" s="208">
        <v>14.25</v>
      </c>
      <c r="H13" s="210"/>
      <c r="I13" s="170"/>
      <c r="J13" s="170"/>
      <c r="K13" s="214"/>
      <c r="L13" s="170"/>
      <c r="M13" s="170"/>
      <c r="N13" s="207"/>
      <c r="O13" s="171"/>
      <c r="P13" s="171"/>
      <c r="Q13" s="171"/>
      <c r="R13" s="877"/>
      <c r="S13" s="773"/>
      <c r="T13" s="247"/>
      <c r="U13" s="247"/>
      <c r="V13" s="250"/>
      <c r="W13" s="173"/>
    </row>
    <row r="14" spans="1:23" ht="15" x14ac:dyDescent="0.35">
      <c r="A14" s="174">
        <v>44304</v>
      </c>
      <c r="B14" s="170" t="s">
        <v>75</v>
      </c>
      <c r="C14" s="214" t="s">
        <v>67</v>
      </c>
      <c r="D14" s="216" t="s">
        <v>52</v>
      </c>
      <c r="E14" s="171">
        <v>18.899999999999999</v>
      </c>
      <c r="F14" s="171">
        <v>4.8399999999999981</v>
      </c>
      <c r="G14" s="208">
        <v>14.06</v>
      </c>
      <c r="H14" s="210"/>
      <c r="I14" s="171">
        <v>6.5600000000000005</v>
      </c>
      <c r="J14" s="170">
        <v>5.82</v>
      </c>
      <c r="K14" s="214">
        <v>0.46</v>
      </c>
      <c r="L14" s="171">
        <v>7.5</v>
      </c>
      <c r="M14" s="170"/>
      <c r="N14" s="207"/>
      <c r="O14" s="171"/>
      <c r="P14" s="171">
        <v>2.6772000000000005</v>
      </c>
      <c r="Q14" s="171"/>
      <c r="R14" s="877"/>
      <c r="S14" s="773"/>
      <c r="T14" s="247"/>
      <c r="U14" s="247"/>
      <c r="V14" s="250"/>
      <c r="W14" s="173"/>
    </row>
    <row r="15" spans="1:23" ht="15" x14ac:dyDescent="0.35">
      <c r="A15" s="174">
        <v>44304</v>
      </c>
      <c r="B15" s="170" t="s">
        <v>75</v>
      </c>
      <c r="C15" s="214" t="s">
        <v>67</v>
      </c>
      <c r="D15" s="216" t="s">
        <v>52</v>
      </c>
      <c r="E15" s="171">
        <v>14.55</v>
      </c>
      <c r="F15" s="171">
        <v>0.49</v>
      </c>
      <c r="G15" s="208">
        <v>14.06</v>
      </c>
      <c r="H15" s="210"/>
      <c r="I15" s="170"/>
      <c r="J15" s="170"/>
      <c r="K15" s="214"/>
      <c r="L15" s="170"/>
      <c r="M15" s="170"/>
      <c r="N15" s="207"/>
      <c r="O15" s="171"/>
      <c r="P15" s="171"/>
      <c r="Q15" s="171"/>
      <c r="R15" s="877"/>
      <c r="S15" s="773"/>
      <c r="T15" s="247"/>
      <c r="U15" s="247"/>
      <c r="V15" s="250"/>
      <c r="W15" s="173"/>
    </row>
    <row r="16" spans="1:23" ht="15" x14ac:dyDescent="0.35">
      <c r="A16" s="174">
        <v>44310</v>
      </c>
      <c r="B16" s="170" t="s">
        <v>75</v>
      </c>
      <c r="C16" s="214" t="s">
        <v>67</v>
      </c>
      <c r="D16" s="216" t="s">
        <v>52</v>
      </c>
      <c r="E16" s="171">
        <v>14.55</v>
      </c>
      <c r="F16" s="171">
        <v>0.67</v>
      </c>
      <c r="G16" s="208">
        <v>13.88</v>
      </c>
      <c r="H16" s="208">
        <v>-0.17999999999999972</v>
      </c>
      <c r="I16" s="170"/>
      <c r="J16" s="171">
        <v>5.6400000000000006</v>
      </c>
      <c r="K16" s="217">
        <v>0.47468085106382985</v>
      </c>
      <c r="L16" s="170"/>
      <c r="M16" s="170"/>
      <c r="N16" s="207"/>
      <c r="O16" s="171"/>
      <c r="P16" s="171"/>
      <c r="Q16" s="171"/>
      <c r="R16" s="877"/>
      <c r="S16" s="773"/>
      <c r="T16" s="247">
        <v>393294.62900000002</v>
      </c>
      <c r="U16" s="247">
        <v>6700340.0930000003</v>
      </c>
      <c r="V16" s="250">
        <v>1367.4829999999999</v>
      </c>
      <c r="W16" s="173"/>
    </row>
    <row r="17" spans="1:23" ht="15" x14ac:dyDescent="0.35">
      <c r="A17" s="174">
        <v>44438</v>
      </c>
      <c r="B17" s="170" t="s">
        <v>80</v>
      </c>
      <c r="C17" s="214" t="s">
        <v>67</v>
      </c>
      <c r="D17" s="216" t="s">
        <v>59</v>
      </c>
      <c r="E17" s="171">
        <v>14.55</v>
      </c>
      <c r="F17" s="171">
        <v>4.08</v>
      </c>
      <c r="G17" s="208">
        <v>10.47</v>
      </c>
      <c r="H17" s="207"/>
      <c r="I17" s="171">
        <v>2.9700000000000006</v>
      </c>
      <c r="J17" s="170"/>
      <c r="K17" s="214"/>
      <c r="L17" s="170"/>
      <c r="M17" s="170"/>
      <c r="N17" s="207"/>
      <c r="O17" s="171"/>
      <c r="P17" s="171"/>
      <c r="Q17" s="171"/>
      <c r="R17" s="877"/>
      <c r="S17" s="773"/>
      <c r="T17" s="251">
        <v>393290.57900000003</v>
      </c>
      <c r="U17" s="251">
        <v>6700344.5429999996</v>
      </c>
      <c r="V17" s="251">
        <v>1371.896</v>
      </c>
      <c r="W17" s="173"/>
    </row>
    <row r="18" spans="1:23" ht="15" x14ac:dyDescent="0.35">
      <c r="A18" s="174">
        <v>44509</v>
      </c>
      <c r="B18" s="170" t="s">
        <v>75</v>
      </c>
      <c r="C18" s="214" t="s">
        <v>67</v>
      </c>
      <c r="D18" s="216" t="s">
        <v>52</v>
      </c>
      <c r="E18" s="171">
        <v>17.600000000000001</v>
      </c>
      <c r="F18" s="171">
        <v>3.3500000000000014</v>
      </c>
      <c r="G18" s="208">
        <v>14.25</v>
      </c>
      <c r="H18" s="208">
        <v>3.7799999999999994</v>
      </c>
      <c r="I18" s="171"/>
      <c r="J18" s="170"/>
      <c r="K18" s="214"/>
      <c r="L18" s="170"/>
      <c r="M18" s="170"/>
      <c r="N18" s="207"/>
      <c r="O18" s="171"/>
      <c r="P18" s="171"/>
      <c r="Q18" s="171"/>
      <c r="R18" s="877"/>
      <c r="S18" s="773"/>
      <c r="T18" s="251"/>
      <c r="U18" s="251"/>
      <c r="V18" s="251"/>
      <c r="W18" s="173"/>
    </row>
    <row r="19" spans="1:23" ht="15" x14ac:dyDescent="0.35">
      <c r="A19" s="174">
        <v>44820</v>
      </c>
      <c r="B19" s="170" t="s">
        <v>81</v>
      </c>
      <c r="C19" s="214" t="s">
        <v>67</v>
      </c>
      <c r="D19" s="216" t="s">
        <v>52</v>
      </c>
      <c r="E19" s="171">
        <v>14.55</v>
      </c>
      <c r="F19" s="171">
        <v>1.17</v>
      </c>
      <c r="G19" s="208">
        <v>13.38</v>
      </c>
      <c r="H19" s="208"/>
      <c r="I19" s="171"/>
      <c r="J19" s="170">
        <v>0.05</v>
      </c>
      <c r="K19" s="214">
        <v>0.4</v>
      </c>
      <c r="L19" s="170"/>
      <c r="M19" s="170"/>
      <c r="N19" s="207"/>
      <c r="O19" s="171"/>
      <c r="P19" s="171"/>
      <c r="Q19" s="171"/>
      <c r="R19" s="877"/>
      <c r="S19" s="773"/>
      <c r="T19" s="251"/>
      <c r="U19" s="251"/>
      <c r="V19" s="251"/>
      <c r="W19" s="173"/>
    </row>
    <row r="20" spans="1:23" ht="15" x14ac:dyDescent="0.35">
      <c r="A20" s="174">
        <v>44820</v>
      </c>
      <c r="B20" s="170" t="s">
        <v>81</v>
      </c>
      <c r="C20" s="214" t="s">
        <v>67</v>
      </c>
      <c r="D20" s="216" t="s">
        <v>52</v>
      </c>
      <c r="E20" s="171">
        <v>14.55</v>
      </c>
      <c r="F20" s="171">
        <v>1.22</v>
      </c>
      <c r="G20" s="208">
        <v>13.33</v>
      </c>
      <c r="H20" s="208"/>
      <c r="I20" s="171"/>
      <c r="J20" s="170"/>
      <c r="K20" s="214"/>
      <c r="L20" s="170"/>
      <c r="M20" s="170"/>
      <c r="N20" s="207"/>
      <c r="O20" s="171"/>
      <c r="P20" s="171"/>
      <c r="Q20" s="171"/>
      <c r="R20" s="877"/>
      <c r="S20" s="773"/>
      <c r="T20" s="251"/>
      <c r="U20" s="251"/>
      <c r="V20" s="251"/>
      <c r="W20" s="173"/>
    </row>
    <row r="21" spans="1:23" ht="15" x14ac:dyDescent="0.35">
      <c r="A21" s="174">
        <v>44911</v>
      </c>
      <c r="B21" s="170" t="s">
        <v>90</v>
      </c>
      <c r="C21" s="214" t="s">
        <v>67</v>
      </c>
      <c r="D21" s="216" t="s">
        <v>89</v>
      </c>
      <c r="E21" s="171">
        <v>17.600000000000001</v>
      </c>
      <c r="F21" s="171">
        <v>2.21</v>
      </c>
      <c r="G21" s="208">
        <v>15.39</v>
      </c>
      <c r="H21" s="208">
        <v>2.0600000000000005</v>
      </c>
      <c r="I21" s="171"/>
      <c r="J21" s="170"/>
      <c r="K21" s="214"/>
      <c r="L21" s="170"/>
      <c r="M21" s="170"/>
      <c r="N21" s="207"/>
      <c r="O21" s="171"/>
      <c r="P21" s="171"/>
      <c r="Q21" s="171"/>
      <c r="R21" s="877"/>
      <c r="S21" s="773"/>
      <c r="T21" s="251"/>
      <c r="U21" s="251"/>
      <c r="V21" s="251"/>
      <c r="W21" s="173"/>
    </row>
    <row r="22" spans="1:23" ht="15" x14ac:dyDescent="0.35">
      <c r="A22" s="174">
        <v>44911</v>
      </c>
      <c r="B22" s="170" t="s">
        <v>90</v>
      </c>
      <c r="C22" s="214" t="s">
        <v>67</v>
      </c>
      <c r="D22" s="216" t="s">
        <v>89</v>
      </c>
      <c r="E22" s="171">
        <v>19.600000000000001</v>
      </c>
      <c r="F22" s="171">
        <v>4.21</v>
      </c>
      <c r="G22" s="208">
        <v>15.39</v>
      </c>
      <c r="H22" s="208"/>
      <c r="I22" s="171"/>
      <c r="J22" s="170"/>
      <c r="K22" s="214"/>
      <c r="L22" s="170"/>
      <c r="M22" s="170"/>
      <c r="N22" s="207"/>
      <c r="O22" s="171"/>
      <c r="P22" s="171"/>
      <c r="Q22" s="171"/>
      <c r="R22" s="877"/>
      <c r="S22" s="773"/>
      <c r="T22" s="251"/>
      <c r="U22" s="251"/>
      <c r="V22" s="251"/>
      <c r="W22" s="173"/>
    </row>
    <row r="23" spans="1:23" ht="15" x14ac:dyDescent="0.35">
      <c r="A23" s="174">
        <v>45174</v>
      </c>
      <c r="B23" s="170" t="s">
        <v>88</v>
      </c>
      <c r="C23" s="214" t="s">
        <v>67</v>
      </c>
      <c r="D23" s="216" t="s">
        <v>59</v>
      </c>
      <c r="E23" s="171">
        <v>17.600000000000001</v>
      </c>
      <c r="F23" s="171">
        <v>2.39</v>
      </c>
      <c r="G23" s="208">
        <v>15.21</v>
      </c>
      <c r="H23" s="208"/>
      <c r="I23" s="171"/>
      <c r="J23" s="170" t="e">
        <v>#REF!</v>
      </c>
      <c r="K23" s="217" t="e">
        <v>#REF!</v>
      </c>
      <c r="L23" s="170"/>
      <c r="M23" s="170"/>
      <c r="N23" s="207"/>
      <c r="O23" s="171"/>
      <c r="P23" s="171"/>
      <c r="Q23" s="171"/>
      <c r="R23" s="877"/>
      <c r="S23" s="773"/>
      <c r="T23" s="251"/>
      <c r="U23" s="251"/>
      <c r="V23" s="251"/>
      <c r="W23" s="173"/>
    </row>
    <row r="24" spans="1:23" ht="15" x14ac:dyDescent="0.35">
      <c r="A24" s="174">
        <v>45174</v>
      </c>
      <c r="B24" s="170" t="s">
        <v>88</v>
      </c>
      <c r="C24" s="214" t="s">
        <v>67</v>
      </c>
      <c r="D24" s="216" t="s">
        <v>59</v>
      </c>
      <c r="E24" s="171">
        <v>17.600000000000001</v>
      </c>
      <c r="F24" s="171">
        <v>2.39</v>
      </c>
      <c r="G24" s="208">
        <v>15.21</v>
      </c>
      <c r="H24" s="208"/>
      <c r="I24" s="171"/>
      <c r="J24" s="170"/>
      <c r="K24" s="214"/>
      <c r="L24" s="170"/>
      <c r="M24" s="170"/>
      <c r="N24" s="207"/>
      <c r="O24" s="171"/>
      <c r="P24" s="171"/>
      <c r="Q24" s="171"/>
      <c r="R24" s="877"/>
      <c r="S24" s="773"/>
      <c r="T24" s="251"/>
      <c r="U24" s="251"/>
      <c r="V24" s="251"/>
      <c r="W24" s="173"/>
    </row>
    <row r="25" spans="1:23" ht="15" x14ac:dyDescent="0.35">
      <c r="A25" s="174">
        <v>45407</v>
      </c>
      <c r="B25" s="170" t="s">
        <v>103</v>
      </c>
      <c r="C25" s="214" t="s">
        <v>67</v>
      </c>
      <c r="D25" s="216" t="s">
        <v>52</v>
      </c>
      <c r="E25" s="171" t="s">
        <v>61</v>
      </c>
      <c r="F25" s="171"/>
      <c r="G25" s="208"/>
      <c r="H25" s="208"/>
      <c r="I25" s="171"/>
      <c r="J25" s="170"/>
      <c r="K25" s="214"/>
      <c r="L25" s="170"/>
      <c r="M25" s="170"/>
      <c r="N25" s="207"/>
      <c r="O25" s="171"/>
      <c r="P25" s="171"/>
      <c r="Q25" s="171"/>
      <c r="R25" s="877"/>
      <c r="S25" s="773"/>
      <c r="T25" s="251"/>
      <c r="U25" s="251"/>
      <c r="V25" s="251"/>
      <c r="W25" s="173"/>
    </row>
    <row r="26" spans="1:23" ht="15" x14ac:dyDescent="0.35">
      <c r="A26" s="174">
        <v>45554</v>
      </c>
      <c r="B26" s="170" t="s">
        <v>186</v>
      </c>
      <c r="C26" s="214" t="s">
        <v>67</v>
      </c>
      <c r="D26" s="216" t="s">
        <v>89</v>
      </c>
      <c r="E26" s="171">
        <v>19.600000000000001</v>
      </c>
      <c r="F26" s="171">
        <v>0.7</v>
      </c>
      <c r="G26" s="208">
        <v>18.900000000000002</v>
      </c>
      <c r="H26" s="208"/>
      <c r="I26" s="171"/>
      <c r="J26" s="170">
        <v>0.02</v>
      </c>
      <c r="K26" s="214"/>
      <c r="L26" s="170"/>
      <c r="M26" s="170"/>
      <c r="N26" s="207"/>
      <c r="O26" s="171"/>
      <c r="P26" s="171"/>
      <c r="Q26" s="171"/>
      <c r="R26" s="877"/>
      <c r="S26" s="773"/>
      <c r="T26" s="251"/>
      <c r="U26" s="251"/>
      <c r="V26" s="251"/>
      <c r="W26" s="173"/>
    </row>
    <row r="27" spans="1:23" ht="15" x14ac:dyDescent="0.35">
      <c r="A27" s="174">
        <v>45554</v>
      </c>
      <c r="B27" s="170" t="s">
        <v>186</v>
      </c>
      <c r="C27" s="214" t="s">
        <v>67</v>
      </c>
      <c r="D27" s="216" t="s">
        <v>196</v>
      </c>
      <c r="E27" s="171">
        <v>19.600000000000001</v>
      </c>
      <c r="F27" s="171">
        <v>0.72</v>
      </c>
      <c r="G27" s="208">
        <v>18.880000000000003</v>
      </c>
      <c r="H27" s="208"/>
      <c r="I27" s="171"/>
      <c r="J27" s="170"/>
      <c r="K27" s="214"/>
      <c r="L27" s="171">
        <v>16.260000000000002</v>
      </c>
      <c r="M27" s="170"/>
      <c r="N27" s="207"/>
      <c r="O27" s="171"/>
      <c r="P27" s="171"/>
      <c r="Q27" s="171"/>
      <c r="R27" s="877"/>
      <c r="S27" s="773"/>
      <c r="T27" s="251"/>
      <c r="U27" s="251"/>
      <c r="V27" s="251"/>
      <c r="W27" s="173"/>
    </row>
    <row r="28" spans="1:23" s="104" customFormat="1" ht="15" x14ac:dyDescent="0.35">
      <c r="C28" s="154"/>
      <c r="D28" s="156"/>
      <c r="E28" s="159"/>
      <c r="F28" s="159"/>
      <c r="G28" s="356"/>
      <c r="H28" s="106"/>
      <c r="K28" s="154"/>
      <c r="N28" s="106"/>
      <c r="O28" s="159"/>
      <c r="P28" s="159"/>
      <c r="Q28" s="159"/>
      <c r="R28" s="159"/>
      <c r="S28" s="356"/>
      <c r="T28" s="252"/>
      <c r="U28" s="252"/>
      <c r="V28" s="253"/>
    </row>
    <row r="29" spans="1:23" s="198" customFormat="1" ht="15" x14ac:dyDescent="0.35">
      <c r="A29" s="197">
        <v>44304</v>
      </c>
      <c r="B29" s="198" t="s">
        <v>75</v>
      </c>
      <c r="C29" s="199" t="s">
        <v>77</v>
      </c>
      <c r="D29" s="200" t="s">
        <v>52</v>
      </c>
      <c r="E29" s="204">
        <v>12.2</v>
      </c>
      <c r="F29" s="204">
        <v>0.77</v>
      </c>
      <c r="G29" s="291">
        <v>11.43</v>
      </c>
      <c r="H29" s="202"/>
      <c r="I29" s="198">
        <v>6.6</v>
      </c>
      <c r="J29" s="198">
        <v>5.82</v>
      </c>
      <c r="K29" s="203">
        <v>0.46</v>
      </c>
      <c r="L29" s="198">
        <v>4.83</v>
      </c>
      <c r="N29" s="201"/>
      <c r="O29" s="204"/>
      <c r="P29" s="204">
        <v>2.6772000000000005</v>
      </c>
      <c r="Q29" s="204"/>
      <c r="R29" s="204" t="s">
        <v>54</v>
      </c>
      <c r="S29" s="291"/>
      <c r="T29" s="254"/>
      <c r="U29" s="254"/>
      <c r="V29" s="255"/>
    </row>
    <row r="30" spans="1:23" s="198" customFormat="1" ht="15" x14ac:dyDescent="0.35">
      <c r="A30" s="197">
        <v>44310</v>
      </c>
      <c r="B30" s="198" t="s">
        <v>75</v>
      </c>
      <c r="C30" s="199" t="s">
        <v>77</v>
      </c>
      <c r="D30" s="200" t="s">
        <v>52</v>
      </c>
      <c r="E30" s="204">
        <v>12.2</v>
      </c>
      <c r="F30" s="204">
        <v>0.94</v>
      </c>
      <c r="G30" s="291">
        <v>11.26</v>
      </c>
      <c r="H30" s="202">
        <v>-0.16999999999999993</v>
      </c>
      <c r="J30" s="204">
        <v>5.6400000000000006</v>
      </c>
      <c r="K30" s="203">
        <v>0.47468085106382985</v>
      </c>
      <c r="N30" s="201"/>
      <c r="O30" s="204"/>
      <c r="P30" s="204"/>
      <c r="Q30" s="204"/>
      <c r="R30" s="204"/>
      <c r="S30" s="291"/>
      <c r="T30" s="254"/>
      <c r="U30" s="254"/>
      <c r="V30" s="255"/>
    </row>
    <row r="31" spans="1:23" s="198" customFormat="1" ht="13.35" customHeight="1" x14ac:dyDescent="0.35">
      <c r="A31" s="197">
        <v>44438</v>
      </c>
      <c r="B31" s="198" t="s">
        <v>75</v>
      </c>
      <c r="C31" s="199" t="s">
        <v>77</v>
      </c>
      <c r="D31" s="200" t="s">
        <v>59</v>
      </c>
      <c r="E31" s="204">
        <v>12.2</v>
      </c>
      <c r="F31" s="204">
        <v>4.3499999999999996</v>
      </c>
      <c r="G31" s="291">
        <v>7.85</v>
      </c>
      <c r="H31" s="202">
        <v>-3.41</v>
      </c>
      <c r="I31" s="198">
        <v>3.0199999999999996</v>
      </c>
      <c r="J31" s="198">
        <v>2.75</v>
      </c>
      <c r="K31" s="199">
        <v>0.6</v>
      </c>
      <c r="N31" s="201"/>
      <c r="O31" s="204">
        <v>-1.0272000000000006</v>
      </c>
      <c r="P31" s="204"/>
      <c r="Q31" s="204">
        <v>1.65</v>
      </c>
      <c r="R31" s="204"/>
      <c r="S31" s="291">
        <v>0</v>
      </c>
      <c r="T31" s="254">
        <v>393291.34100000001</v>
      </c>
      <c r="U31" s="254">
        <v>6700353.8059999999</v>
      </c>
      <c r="V31" s="255">
        <v>1367.7760000000001</v>
      </c>
    </row>
    <row r="32" spans="1:23" s="198" customFormat="1" ht="13.35" customHeight="1" x14ac:dyDescent="0.35">
      <c r="A32" s="197">
        <v>44509</v>
      </c>
      <c r="B32" s="198" t="s">
        <v>75</v>
      </c>
      <c r="C32" s="199" t="s">
        <v>77</v>
      </c>
      <c r="D32" s="200" t="s">
        <v>52</v>
      </c>
      <c r="E32" s="204">
        <v>15.25</v>
      </c>
      <c r="F32" s="204">
        <v>3.5999999999999996</v>
      </c>
      <c r="G32" s="291">
        <v>11.65</v>
      </c>
      <c r="H32" s="202">
        <v>3.8000000000000007</v>
      </c>
      <c r="K32" s="199"/>
      <c r="N32" s="201"/>
      <c r="O32" s="204"/>
      <c r="P32" s="204"/>
      <c r="Q32" s="204"/>
      <c r="R32" s="204"/>
      <c r="S32" s="291"/>
      <c r="T32" s="254">
        <v>393287.98700000002</v>
      </c>
      <c r="U32" s="254">
        <v>6700358.2110000001</v>
      </c>
      <c r="V32" s="255">
        <v>1372.086</v>
      </c>
    </row>
    <row r="33" spans="1:23" s="198" customFormat="1" ht="13.35" customHeight="1" x14ac:dyDescent="0.35">
      <c r="A33" s="197">
        <v>44592</v>
      </c>
      <c r="B33" s="198" t="s">
        <v>79</v>
      </c>
      <c r="C33" s="199" t="s">
        <v>77</v>
      </c>
      <c r="D33" s="200" t="s">
        <v>52</v>
      </c>
      <c r="E33" s="204">
        <v>15.25</v>
      </c>
      <c r="F33" s="204">
        <v>2.2400000000000002</v>
      </c>
      <c r="G33" s="291">
        <v>13.01</v>
      </c>
      <c r="H33" s="202"/>
      <c r="K33" s="199"/>
      <c r="N33" s="201"/>
      <c r="O33" s="204"/>
      <c r="P33" s="204"/>
      <c r="Q33" s="204"/>
      <c r="R33" s="204"/>
      <c r="S33" s="291"/>
      <c r="T33" s="254"/>
      <c r="U33" s="254"/>
      <c r="V33" s="255"/>
    </row>
    <row r="34" spans="1:23" s="198" customFormat="1" ht="13.35" customHeight="1" x14ac:dyDescent="0.35">
      <c r="A34" s="197">
        <v>44592</v>
      </c>
      <c r="B34" s="198" t="s">
        <v>79</v>
      </c>
      <c r="C34" s="199" t="s">
        <v>77</v>
      </c>
      <c r="D34" s="200" t="s">
        <v>52</v>
      </c>
      <c r="E34" s="204">
        <v>17.010000000000002</v>
      </c>
      <c r="F34" s="204">
        <v>4.0000000000000018</v>
      </c>
      <c r="G34" s="291">
        <v>13.01</v>
      </c>
      <c r="H34" s="202">
        <v>5.16</v>
      </c>
      <c r="I34" s="204"/>
      <c r="K34" s="203"/>
      <c r="L34" s="204"/>
      <c r="N34" s="201"/>
      <c r="O34" s="204"/>
      <c r="P34" s="204"/>
      <c r="Q34" s="204"/>
      <c r="R34" s="204"/>
      <c r="S34" s="291"/>
      <c r="T34" s="254"/>
      <c r="U34" s="254"/>
      <c r="V34" s="255"/>
      <c r="W34" s="198" t="s">
        <v>71</v>
      </c>
    </row>
    <row r="35" spans="1:23" s="205" customFormat="1" ht="15" x14ac:dyDescent="0.3">
      <c r="A35" s="282">
        <v>44677</v>
      </c>
      <c r="B35" s="283" t="s">
        <v>82</v>
      </c>
      <c r="C35" s="284" t="s">
        <v>77</v>
      </c>
      <c r="D35" s="285" t="s">
        <v>52</v>
      </c>
      <c r="E35" s="288">
        <v>15.75</v>
      </c>
      <c r="F35" s="288">
        <v>1.27</v>
      </c>
      <c r="G35" s="292">
        <v>14.48</v>
      </c>
      <c r="H35" s="287"/>
      <c r="I35" s="283">
        <v>6.94</v>
      </c>
      <c r="J35" s="283">
        <v>6.94</v>
      </c>
      <c r="K35" s="289">
        <v>0.44</v>
      </c>
      <c r="L35" s="283">
        <v>7.54</v>
      </c>
      <c r="M35" s="283"/>
      <c r="N35" s="286"/>
      <c r="O35" s="288"/>
      <c r="P35" s="288">
        <v>3.0536000000000003</v>
      </c>
      <c r="Q35" s="288"/>
      <c r="R35" s="288">
        <v>-0.18599999999999975</v>
      </c>
      <c r="S35" s="292"/>
      <c r="T35" s="280"/>
      <c r="U35" s="280"/>
      <c r="V35" s="281"/>
    </row>
    <row r="36" spans="1:23" s="205" customFormat="1" ht="15" x14ac:dyDescent="0.3">
      <c r="A36" s="282">
        <v>44820</v>
      </c>
      <c r="B36" s="283" t="s">
        <v>81</v>
      </c>
      <c r="C36" s="284" t="s">
        <v>77</v>
      </c>
      <c r="D36" s="285" t="s">
        <v>89</v>
      </c>
      <c r="E36" s="288">
        <v>12.2</v>
      </c>
      <c r="F36" s="288">
        <v>1.9</v>
      </c>
      <c r="G36" s="292">
        <v>10.299999999999999</v>
      </c>
      <c r="H36" s="287"/>
      <c r="I36" s="283"/>
      <c r="J36" s="283">
        <v>0.06</v>
      </c>
      <c r="K36" s="289">
        <v>0.6</v>
      </c>
      <c r="L36" s="283"/>
      <c r="M36" s="283"/>
      <c r="N36" s="286"/>
      <c r="O36" s="288"/>
      <c r="P36" s="288"/>
      <c r="Q36" s="288"/>
      <c r="R36" s="288"/>
      <c r="S36" s="292"/>
      <c r="T36" s="280"/>
      <c r="U36" s="280"/>
      <c r="V36" s="281"/>
    </row>
    <row r="37" spans="1:23" s="205" customFormat="1" ht="15" x14ac:dyDescent="0.3">
      <c r="A37" s="282">
        <v>44820</v>
      </c>
      <c r="B37" s="283" t="s">
        <v>81</v>
      </c>
      <c r="C37" s="284" t="s">
        <v>77</v>
      </c>
      <c r="D37" s="285" t="s">
        <v>52</v>
      </c>
      <c r="E37" s="288">
        <v>12.2</v>
      </c>
      <c r="F37" s="288">
        <v>1.96</v>
      </c>
      <c r="G37" s="292">
        <v>10.239999999999998</v>
      </c>
      <c r="H37" s="287"/>
      <c r="I37" s="283"/>
      <c r="J37" s="283"/>
      <c r="K37" s="289"/>
      <c r="L37" s="283"/>
      <c r="M37" s="283"/>
      <c r="N37" s="286"/>
      <c r="O37" s="288"/>
      <c r="P37" s="288"/>
      <c r="Q37" s="288"/>
      <c r="R37" s="288"/>
      <c r="S37" s="292"/>
      <c r="T37" s="280"/>
      <c r="U37" s="280"/>
      <c r="V37" s="281"/>
    </row>
    <row r="38" spans="1:23" s="205" customFormat="1" ht="15" x14ac:dyDescent="0.3">
      <c r="A38" s="282">
        <v>44822</v>
      </c>
      <c r="B38" s="283" t="s">
        <v>81</v>
      </c>
      <c r="C38" s="284" t="s">
        <v>77</v>
      </c>
      <c r="D38" s="285" t="s">
        <v>52</v>
      </c>
      <c r="E38" s="288">
        <v>12.2</v>
      </c>
      <c r="F38" s="288">
        <v>2.0299999999999998</v>
      </c>
      <c r="G38" s="292">
        <v>10.17</v>
      </c>
      <c r="H38" s="287"/>
      <c r="I38" s="283"/>
      <c r="J38" s="283"/>
      <c r="K38" s="289"/>
      <c r="L38" s="283"/>
      <c r="M38" s="283"/>
      <c r="N38" s="286"/>
      <c r="O38" s="288"/>
      <c r="P38" s="288"/>
      <c r="Q38" s="288"/>
      <c r="R38" s="288"/>
      <c r="S38" s="292"/>
      <c r="T38" s="280"/>
      <c r="U38" s="280"/>
      <c r="V38" s="281"/>
    </row>
    <row r="39" spans="1:23" s="205" customFormat="1" ht="15" x14ac:dyDescent="0.3">
      <c r="A39" s="282">
        <v>44911</v>
      </c>
      <c r="B39" s="283" t="s">
        <v>90</v>
      </c>
      <c r="C39" s="284" t="s">
        <v>77</v>
      </c>
      <c r="D39" s="285" t="s">
        <v>89</v>
      </c>
      <c r="E39" s="288">
        <v>12.2</v>
      </c>
      <c r="F39" s="288">
        <v>0.11</v>
      </c>
      <c r="G39" s="292">
        <v>12.09</v>
      </c>
      <c r="H39" s="287">
        <v>1.92</v>
      </c>
      <c r="I39" s="283"/>
      <c r="J39" s="283"/>
      <c r="K39" s="289"/>
      <c r="L39" s="283"/>
      <c r="M39" s="283"/>
      <c r="N39" s="286"/>
      <c r="O39" s="288"/>
      <c r="P39" s="288"/>
      <c r="Q39" s="288"/>
      <c r="R39" s="288"/>
      <c r="S39" s="292"/>
      <c r="T39" s="280"/>
      <c r="U39" s="280"/>
      <c r="V39" s="281"/>
    </row>
    <row r="40" spans="1:23" s="205" customFormat="1" ht="15" x14ac:dyDescent="0.3">
      <c r="A40" s="282">
        <v>45174</v>
      </c>
      <c r="B40" s="283" t="s">
        <v>88</v>
      </c>
      <c r="C40" s="284" t="s">
        <v>77</v>
      </c>
      <c r="D40" s="285" t="s">
        <v>59</v>
      </c>
      <c r="E40" s="288">
        <v>12.2</v>
      </c>
      <c r="F40" s="288">
        <v>0.79</v>
      </c>
      <c r="G40" s="292">
        <v>11.41</v>
      </c>
      <c r="H40" s="287"/>
      <c r="I40" s="283"/>
      <c r="J40" s="283">
        <v>0.94</v>
      </c>
      <c r="K40" s="289">
        <v>0.61147357107386857</v>
      </c>
      <c r="L40" s="288">
        <v>10.47</v>
      </c>
      <c r="M40" s="283"/>
      <c r="N40" s="286"/>
      <c r="O40" s="288"/>
      <c r="P40" s="288"/>
      <c r="Q40" s="288"/>
      <c r="R40" s="288">
        <v>0.16800000000000043</v>
      </c>
      <c r="S40" s="292"/>
      <c r="T40" s="280"/>
      <c r="U40" s="280"/>
      <c r="V40" s="281"/>
    </row>
    <row r="41" spans="1:23" s="205" customFormat="1" ht="15" x14ac:dyDescent="0.3">
      <c r="A41" s="282">
        <v>45174</v>
      </c>
      <c r="B41" s="283" t="s">
        <v>88</v>
      </c>
      <c r="C41" s="284" t="s">
        <v>77</v>
      </c>
      <c r="D41" s="285" t="s">
        <v>59</v>
      </c>
      <c r="E41" s="288">
        <v>15.35</v>
      </c>
      <c r="F41" s="288">
        <v>3.9399999999999995</v>
      </c>
      <c r="G41" s="292">
        <v>11.41</v>
      </c>
      <c r="H41" s="287"/>
      <c r="I41" s="283"/>
      <c r="J41" s="283"/>
      <c r="K41" s="289"/>
      <c r="L41" s="283"/>
      <c r="M41" s="283"/>
      <c r="N41" s="286"/>
      <c r="O41" s="288"/>
      <c r="P41" s="288"/>
      <c r="Q41" s="288"/>
      <c r="R41" s="288"/>
      <c r="S41" s="292"/>
      <c r="T41" s="280"/>
      <c r="U41" s="280"/>
      <c r="V41" s="281"/>
    </row>
    <row r="42" spans="1:23" s="205" customFormat="1" ht="15" x14ac:dyDescent="0.3">
      <c r="A42" s="282">
        <v>45407</v>
      </c>
      <c r="B42" s="283" t="s">
        <v>103</v>
      </c>
      <c r="C42" s="284" t="s">
        <v>77</v>
      </c>
      <c r="D42" s="285" t="s">
        <v>52</v>
      </c>
      <c r="E42" s="288" t="s">
        <v>61</v>
      </c>
      <c r="F42" s="288"/>
      <c r="G42" s="292"/>
      <c r="H42" s="287"/>
      <c r="I42" s="283"/>
      <c r="J42" s="283"/>
      <c r="K42" s="289"/>
      <c r="L42" s="283"/>
      <c r="M42" s="283"/>
      <c r="N42" s="286"/>
      <c r="O42" s="288"/>
      <c r="P42" s="288"/>
      <c r="Q42" s="288"/>
      <c r="R42" s="288"/>
      <c r="S42" s="292"/>
      <c r="T42" s="280"/>
      <c r="U42" s="280"/>
      <c r="V42" s="281"/>
    </row>
    <row r="43" spans="1:23" s="205" customFormat="1" ht="15" x14ac:dyDescent="0.3">
      <c r="A43" s="282">
        <v>45554</v>
      </c>
      <c r="B43" s="283" t="s">
        <v>186</v>
      </c>
      <c r="C43" s="284" t="s">
        <v>77</v>
      </c>
      <c r="D43" s="285" t="s">
        <v>89</v>
      </c>
      <c r="E43" s="288">
        <v>15.35</v>
      </c>
      <c r="F43" s="288">
        <v>1.21</v>
      </c>
      <c r="G43" s="292">
        <v>14.14</v>
      </c>
      <c r="H43" s="287"/>
      <c r="I43" s="283"/>
      <c r="J43" s="283">
        <v>0.02</v>
      </c>
      <c r="K43" s="289"/>
      <c r="L43" s="288">
        <v>11.52</v>
      </c>
      <c r="M43" s="283"/>
      <c r="N43" s="286"/>
      <c r="O43" s="288"/>
      <c r="P43" s="288"/>
      <c r="Q43" s="288"/>
      <c r="R43" s="288"/>
      <c r="S43" s="292"/>
      <c r="T43" s="280"/>
      <c r="U43" s="280"/>
      <c r="V43" s="281"/>
    </row>
    <row r="44" spans="1:23" s="205" customFormat="1" ht="15" x14ac:dyDescent="0.3">
      <c r="A44" s="282">
        <v>45554</v>
      </c>
      <c r="B44" s="283" t="s">
        <v>186</v>
      </c>
      <c r="C44" s="284" t="s">
        <v>77</v>
      </c>
      <c r="D44" s="285" t="s">
        <v>196</v>
      </c>
      <c r="E44" s="288">
        <v>15.35</v>
      </c>
      <c r="F44" s="288">
        <v>1.23</v>
      </c>
      <c r="G44" s="292">
        <v>14.12</v>
      </c>
      <c r="H44" s="287"/>
      <c r="I44" s="283"/>
      <c r="J44" s="283"/>
      <c r="K44" s="289"/>
      <c r="L44" s="288">
        <v>11.5</v>
      </c>
      <c r="M44" s="283"/>
      <c r="N44" s="286"/>
      <c r="O44" s="288"/>
      <c r="P44" s="288"/>
      <c r="Q44" s="288"/>
      <c r="R44" s="288"/>
      <c r="S44" s="292"/>
      <c r="T44" s="280"/>
      <c r="U44" s="280"/>
      <c r="V44" s="281"/>
    </row>
    <row r="45" spans="1:23" ht="15" x14ac:dyDescent="0.35">
      <c r="A45" s="70"/>
      <c r="B45" s="70"/>
      <c r="C45" s="213"/>
      <c r="D45" s="215"/>
      <c r="E45" s="71"/>
      <c r="F45" s="71"/>
      <c r="G45" s="357"/>
      <c r="H45" s="209"/>
      <c r="I45" s="70"/>
      <c r="J45" s="70"/>
      <c r="K45" s="213"/>
      <c r="L45" s="70"/>
      <c r="M45" s="70"/>
      <c r="N45" s="206"/>
      <c r="O45" s="71"/>
      <c r="P45" s="71"/>
      <c r="Q45" s="71"/>
      <c r="R45" s="102"/>
      <c r="S45" s="300"/>
      <c r="T45" s="248"/>
      <c r="U45" s="248"/>
      <c r="V45" s="253"/>
    </row>
    <row r="46" spans="1:23" ht="15" x14ac:dyDescent="0.35">
      <c r="A46" s="290">
        <v>44678</v>
      </c>
      <c r="B46" s="277" t="s">
        <v>82</v>
      </c>
      <c r="C46" s="304" t="s">
        <v>86</v>
      </c>
      <c r="D46" s="305" t="s">
        <v>52</v>
      </c>
      <c r="E46" s="278">
        <v>9.15</v>
      </c>
      <c r="F46" s="278">
        <v>-2.4900000000000002</v>
      </c>
      <c r="G46" s="297">
        <v>11.64</v>
      </c>
      <c r="H46" s="299"/>
      <c r="I46" s="277">
        <v>6.94</v>
      </c>
      <c r="J46" s="277">
        <v>6.94</v>
      </c>
      <c r="K46" s="303">
        <v>0.44</v>
      </c>
      <c r="L46" s="278">
        <v>4.7</v>
      </c>
      <c r="M46" s="277"/>
      <c r="N46" s="298"/>
      <c r="O46" s="278"/>
      <c r="P46" s="278">
        <v>3.0536000000000003</v>
      </c>
      <c r="Q46" s="278"/>
      <c r="R46" s="293"/>
      <c r="S46" s="301"/>
      <c r="T46" s="279"/>
      <c r="U46" s="279"/>
      <c r="V46" s="302"/>
      <c r="W46" s="265"/>
    </row>
    <row r="47" spans="1:23" ht="15" x14ac:dyDescent="0.35">
      <c r="A47" s="290">
        <v>44820</v>
      </c>
      <c r="B47" s="277" t="s">
        <v>81</v>
      </c>
      <c r="C47" s="304" t="s">
        <v>86</v>
      </c>
      <c r="D47" s="305" t="s">
        <v>89</v>
      </c>
      <c r="E47" s="278">
        <v>9.15</v>
      </c>
      <c r="F47" s="278">
        <v>2.5499999999999998</v>
      </c>
      <c r="G47" s="297">
        <v>6.6000000000000005</v>
      </c>
      <c r="H47" s="299"/>
      <c r="I47" s="277"/>
      <c r="J47" s="277">
        <v>0.06</v>
      </c>
      <c r="K47" s="304">
        <v>0.4</v>
      </c>
      <c r="L47" s="277"/>
      <c r="M47" s="277"/>
      <c r="N47" s="298"/>
      <c r="O47" s="278"/>
      <c r="P47" s="278"/>
      <c r="Q47" s="278"/>
      <c r="R47" s="278"/>
      <c r="S47" s="297">
        <v>2.4E-2</v>
      </c>
      <c r="T47" s="279"/>
      <c r="U47" s="279"/>
      <c r="V47" s="302"/>
      <c r="W47" s="265"/>
    </row>
    <row r="48" spans="1:23" ht="15" x14ac:dyDescent="0.35">
      <c r="A48" s="290">
        <v>44820</v>
      </c>
      <c r="B48" s="277" t="s">
        <v>81</v>
      </c>
      <c r="C48" s="304" t="s">
        <v>86</v>
      </c>
      <c r="D48" s="305" t="s">
        <v>52</v>
      </c>
      <c r="E48" s="278">
        <v>9.15</v>
      </c>
      <c r="F48" s="278">
        <v>2.61</v>
      </c>
      <c r="G48" s="297">
        <v>6.5400000000000009</v>
      </c>
      <c r="H48" s="299"/>
      <c r="I48" s="277"/>
      <c r="J48" s="277">
        <v>1.79</v>
      </c>
      <c r="K48" s="303">
        <v>0.56000000000000005</v>
      </c>
      <c r="L48" s="278">
        <v>4.7500000000000009</v>
      </c>
      <c r="M48" s="277"/>
      <c r="N48" s="298"/>
      <c r="O48" s="278">
        <v>-2.0512000000000001</v>
      </c>
      <c r="P48" s="278"/>
      <c r="Q48" s="278">
        <v>1.0024000000000002</v>
      </c>
      <c r="R48" s="278"/>
      <c r="S48" s="297"/>
      <c r="T48" s="279"/>
      <c r="U48" s="279"/>
      <c r="V48" s="302"/>
      <c r="W48" s="265"/>
    </row>
    <row r="49" spans="1:23" ht="15" x14ac:dyDescent="0.35">
      <c r="A49" s="290">
        <v>44820</v>
      </c>
      <c r="B49" s="277" t="s">
        <v>81</v>
      </c>
      <c r="C49" s="304" t="s">
        <v>86</v>
      </c>
      <c r="D49" s="305" t="s">
        <v>52</v>
      </c>
      <c r="E49" s="278">
        <v>11.15</v>
      </c>
      <c r="F49" s="278">
        <v>4.5500000000000007</v>
      </c>
      <c r="G49" s="297">
        <v>6.6</v>
      </c>
      <c r="H49" s="299"/>
      <c r="I49" s="277"/>
      <c r="J49" s="277"/>
      <c r="K49" s="304"/>
      <c r="L49" s="277"/>
      <c r="M49" s="277"/>
      <c r="N49" s="298"/>
      <c r="O49" s="278"/>
      <c r="P49" s="278"/>
      <c r="Q49" s="278"/>
      <c r="R49" s="278"/>
      <c r="S49" s="297"/>
      <c r="T49" s="279"/>
      <c r="U49" s="279"/>
      <c r="V49" s="302"/>
      <c r="W49" s="265"/>
    </row>
    <row r="50" spans="1:23" ht="15" x14ac:dyDescent="0.35">
      <c r="A50" s="290">
        <v>44911</v>
      </c>
      <c r="B50" s="277" t="s">
        <v>88</v>
      </c>
      <c r="C50" s="304" t="s">
        <v>86</v>
      </c>
      <c r="D50" s="305" t="s">
        <v>89</v>
      </c>
      <c r="E50" s="278">
        <v>11.15</v>
      </c>
      <c r="F50" s="278">
        <v>2.6100000000000012</v>
      </c>
      <c r="G50" s="297">
        <v>8.5399999999999991</v>
      </c>
      <c r="H50" s="299"/>
      <c r="I50" s="277"/>
      <c r="J50" s="277"/>
      <c r="K50" s="304"/>
      <c r="L50" s="277"/>
      <c r="M50" s="277"/>
      <c r="N50" s="298"/>
      <c r="O50" s="278"/>
      <c r="P50" s="278"/>
      <c r="Q50" s="278"/>
      <c r="R50" s="278"/>
      <c r="S50" s="297"/>
      <c r="T50" s="279"/>
      <c r="U50" s="279"/>
      <c r="V50" s="302"/>
      <c r="W50" s="265"/>
    </row>
    <row r="51" spans="1:23" ht="15" x14ac:dyDescent="0.35">
      <c r="A51" s="290">
        <v>44911</v>
      </c>
      <c r="B51" s="277" t="s">
        <v>88</v>
      </c>
      <c r="C51" s="304" t="s">
        <v>86</v>
      </c>
      <c r="D51" s="305" t="s">
        <v>89</v>
      </c>
      <c r="E51" s="278">
        <v>12.2</v>
      </c>
      <c r="F51" s="278">
        <v>3.66</v>
      </c>
      <c r="G51" s="297">
        <v>8.5399999999999991</v>
      </c>
      <c r="H51" s="299">
        <v>1.9399999999999995</v>
      </c>
      <c r="I51" s="277"/>
      <c r="J51" s="277"/>
      <c r="K51" s="304"/>
      <c r="L51" s="277"/>
      <c r="M51" s="277"/>
      <c r="N51" s="298"/>
      <c r="O51" s="278"/>
      <c r="P51" s="278"/>
      <c r="Q51" s="278"/>
      <c r="R51" s="278"/>
      <c r="S51" s="297"/>
      <c r="T51" s="279"/>
      <c r="U51" s="279"/>
      <c r="V51" s="302"/>
      <c r="W51" s="265"/>
    </row>
    <row r="52" spans="1:23" ht="15" x14ac:dyDescent="0.35">
      <c r="A52" s="290">
        <v>45174</v>
      </c>
      <c r="B52" s="277" t="s">
        <v>88</v>
      </c>
      <c r="C52" s="304" t="s">
        <v>86</v>
      </c>
      <c r="D52" s="305" t="s">
        <v>59</v>
      </c>
      <c r="E52" s="278">
        <v>9.15</v>
      </c>
      <c r="F52" s="278">
        <v>1.29</v>
      </c>
      <c r="G52" s="297">
        <v>7.86</v>
      </c>
      <c r="H52" s="358">
        <v>1.3199999999999994</v>
      </c>
      <c r="I52" s="277"/>
      <c r="J52" s="277">
        <v>0.94</v>
      </c>
      <c r="K52" s="303">
        <v>0.61147357107386857</v>
      </c>
      <c r="L52" s="278">
        <v>6.92</v>
      </c>
      <c r="M52" s="277"/>
      <c r="N52" s="298"/>
      <c r="O52" s="278"/>
      <c r="P52" s="278"/>
      <c r="Q52" s="278"/>
      <c r="R52" s="278">
        <v>0.21279999999999946</v>
      </c>
      <c r="S52" s="297"/>
      <c r="T52" s="279"/>
      <c r="U52" s="279"/>
      <c r="V52" s="302"/>
      <c r="W52" s="265"/>
    </row>
    <row r="53" spans="1:23" ht="15" x14ac:dyDescent="0.35">
      <c r="A53" s="290">
        <v>45174</v>
      </c>
      <c r="B53" s="277" t="s">
        <v>88</v>
      </c>
      <c r="C53" s="304" t="s">
        <v>86</v>
      </c>
      <c r="D53" s="305" t="s">
        <v>59</v>
      </c>
      <c r="E53" s="278">
        <v>12.2</v>
      </c>
      <c r="F53" s="278">
        <v>4.339999999999999</v>
      </c>
      <c r="G53" s="297">
        <v>7.86</v>
      </c>
      <c r="H53" s="299"/>
      <c r="I53" s="277"/>
      <c r="J53" s="277"/>
      <c r="K53" s="304"/>
      <c r="L53" s="277"/>
      <c r="M53" s="277"/>
      <c r="N53" s="298"/>
      <c r="O53" s="278"/>
      <c r="P53" s="278"/>
      <c r="Q53" s="278"/>
      <c r="R53" s="278"/>
      <c r="S53" s="297"/>
      <c r="T53" s="279"/>
      <c r="U53" s="279"/>
      <c r="V53" s="302"/>
      <c r="W53" s="265"/>
    </row>
    <row r="54" spans="1:23" ht="15" x14ac:dyDescent="0.35">
      <c r="A54" s="290">
        <v>45407</v>
      </c>
      <c r="B54" s="277" t="s">
        <v>103</v>
      </c>
      <c r="C54" s="304" t="s">
        <v>86</v>
      </c>
      <c r="D54" s="304" t="s">
        <v>52</v>
      </c>
      <c r="E54" s="278" t="s">
        <v>61</v>
      </c>
      <c r="F54" s="278"/>
      <c r="G54" s="297"/>
      <c r="H54" s="298"/>
      <c r="I54" s="277"/>
      <c r="J54" s="277"/>
      <c r="K54" s="304"/>
      <c r="L54" s="277"/>
      <c r="M54" s="277"/>
      <c r="N54" s="298"/>
      <c r="O54" s="278"/>
      <c r="P54" s="278"/>
      <c r="Q54" s="278"/>
      <c r="R54" s="278"/>
      <c r="S54" s="297"/>
      <c r="T54" s="279"/>
      <c r="U54" s="279"/>
      <c r="V54" s="302"/>
      <c r="W54" s="265"/>
    </row>
    <row r="55" spans="1:23" ht="15" x14ac:dyDescent="0.35">
      <c r="A55" s="290">
        <v>45554</v>
      </c>
      <c r="B55" s="277" t="s">
        <v>186</v>
      </c>
      <c r="C55" s="304" t="s">
        <v>86</v>
      </c>
      <c r="D55" s="304" t="s">
        <v>89</v>
      </c>
      <c r="E55" s="278">
        <v>12.2</v>
      </c>
      <c r="F55" s="278">
        <v>1.25</v>
      </c>
      <c r="G55" s="297">
        <v>10.95</v>
      </c>
      <c r="H55" s="298"/>
      <c r="I55" s="277"/>
      <c r="J55" s="277">
        <v>0.02</v>
      </c>
      <c r="K55" s="304"/>
      <c r="L55" s="277"/>
      <c r="M55" s="277"/>
      <c r="N55" s="298"/>
      <c r="O55" s="278"/>
      <c r="P55" s="278"/>
      <c r="Q55" s="278"/>
      <c r="R55" s="278"/>
      <c r="S55" s="297"/>
      <c r="T55" s="279"/>
      <c r="U55" s="279"/>
      <c r="V55" s="302"/>
      <c r="W55" s="265"/>
    </row>
    <row r="56" spans="1:23" ht="15" x14ac:dyDescent="0.35">
      <c r="A56" s="290">
        <v>45554</v>
      </c>
      <c r="B56" s="277" t="s">
        <v>186</v>
      </c>
      <c r="C56" s="304" t="s">
        <v>86</v>
      </c>
      <c r="D56" s="304" t="s">
        <v>196</v>
      </c>
      <c r="E56" s="278">
        <v>12.2</v>
      </c>
      <c r="F56" s="278">
        <v>1.27</v>
      </c>
      <c r="G56" s="297">
        <v>10.93</v>
      </c>
      <c r="H56" s="298"/>
      <c r="I56" s="277"/>
      <c r="J56" s="277"/>
      <c r="K56" s="304"/>
      <c r="L56" s="278">
        <v>8.3099999999999987</v>
      </c>
      <c r="M56" s="277"/>
      <c r="N56" s="298"/>
      <c r="O56" s="278"/>
      <c r="P56" s="278"/>
      <c r="Q56" s="278"/>
      <c r="R56" s="278"/>
      <c r="S56" s="297"/>
      <c r="T56" s="279"/>
      <c r="U56" s="279"/>
      <c r="V56" s="302"/>
      <c r="W56" s="265"/>
    </row>
    <row r="57" spans="1:23" ht="15" x14ac:dyDescent="0.35">
      <c r="A57" s="290">
        <v>45785</v>
      </c>
      <c r="B57" s="277" t="s">
        <v>200</v>
      </c>
      <c r="C57" s="304" t="s">
        <v>86</v>
      </c>
      <c r="D57" s="304" t="s">
        <v>248</v>
      </c>
      <c r="E57" s="278" t="s">
        <v>61</v>
      </c>
      <c r="F57" s="278"/>
      <c r="G57" s="297"/>
      <c r="H57" s="298"/>
      <c r="I57" s="277"/>
      <c r="J57" s="277"/>
      <c r="K57" s="304"/>
      <c r="L57" s="278"/>
      <c r="M57" s="277"/>
      <c r="N57" s="298"/>
      <c r="O57" s="278"/>
      <c r="P57" s="278"/>
      <c r="Q57" s="278"/>
      <c r="R57" s="278"/>
      <c r="S57" s="297"/>
      <c r="T57" s="279"/>
      <c r="U57" s="279"/>
      <c r="V57" s="302"/>
      <c r="W57" s="265"/>
    </row>
    <row r="58" spans="1:23" ht="15" x14ac:dyDescent="0.35">
      <c r="A58" s="70"/>
      <c r="B58" s="70"/>
      <c r="C58" s="213"/>
      <c r="D58" s="213"/>
      <c r="E58" s="71"/>
      <c r="F58" s="71"/>
      <c r="G58" s="357"/>
      <c r="H58" s="206"/>
      <c r="I58" s="70"/>
      <c r="J58" s="70"/>
      <c r="K58" s="213"/>
      <c r="L58" s="70"/>
      <c r="M58" s="70"/>
      <c r="N58" s="206"/>
      <c r="O58" s="71"/>
      <c r="P58" s="71"/>
      <c r="Q58" s="71"/>
      <c r="R58" s="71"/>
      <c r="S58" s="357"/>
      <c r="T58" s="248"/>
      <c r="U58" s="248"/>
      <c r="V58" s="253"/>
    </row>
    <row r="59" spans="1:23" s="160" customFormat="1" ht="15.6" customHeight="1" x14ac:dyDescent="0.35">
      <c r="A59" s="329">
        <v>45051</v>
      </c>
      <c r="B59" s="326" t="s">
        <v>93</v>
      </c>
      <c r="C59" s="742" t="s">
        <v>94</v>
      </c>
      <c r="D59" s="742" t="s">
        <v>89</v>
      </c>
      <c r="E59" s="327">
        <v>12.2</v>
      </c>
      <c r="F59" s="327">
        <v>0.82</v>
      </c>
      <c r="G59" s="750">
        <v>11.379999999999999</v>
      </c>
      <c r="H59" s="746"/>
      <c r="I59" s="326"/>
      <c r="J59" s="326">
        <v>4.76</v>
      </c>
      <c r="K59" s="744">
        <v>0.42</v>
      </c>
      <c r="L59" s="327">
        <v>6.6199999999999992</v>
      </c>
      <c r="M59" s="326"/>
      <c r="N59" s="746"/>
      <c r="O59" s="327"/>
      <c r="P59" s="327">
        <v>1.9991999999999999</v>
      </c>
      <c r="Q59" s="327"/>
      <c r="R59" s="327"/>
      <c r="S59" s="750"/>
      <c r="T59" s="328">
        <v>393333.11800000002</v>
      </c>
      <c r="U59" s="328">
        <v>6700331.6919999998</v>
      </c>
      <c r="V59" s="748">
        <v>1369.212</v>
      </c>
    </row>
    <row r="60" spans="1:23" s="160" customFormat="1" ht="15.6" customHeight="1" x14ac:dyDescent="0.35">
      <c r="A60" s="329">
        <v>45174</v>
      </c>
      <c r="B60" s="326" t="s">
        <v>93</v>
      </c>
      <c r="C60" s="742" t="s">
        <v>94</v>
      </c>
      <c r="D60" s="742" t="s">
        <v>59</v>
      </c>
      <c r="E60" s="327">
        <v>6.15</v>
      </c>
      <c r="F60" s="327">
        <v>-1.33</v>
      </c>
      <c r="G60" s="750">
        <v>7.48</v>
      </c>
      <c r="H60" s="746"/>
      <c r="I60" s="326"/>
      <c r="J60" s="326">
        <v>0.94</v>
      </c>
      <c r="K60" s="744">
        <v>0.61147357107386857</v>
      </c>
      <c r="L60" s="327"/>
      <c r="M60" s="326"/>
      <c r="N60" s="746"/>
      <c r="O60" s="327">
        <v>-1.4244148431905634</v>
      </c>
      <c r="P60" s="327"/>
      <c r="Q60" s="327">
        <v>0.57478515680943643</v>
      </c>
      <c r="R60" s="327"/>
      <c r="S60" s="750">
        <v>0</v>
      </c>
      <c r="T60" s="328"/>
      <c r="U60" s="328"/>
      <c r="V60" s="748"/>
    </row>
    <row r="61" spans="1:23" s="160" customFormat="1" ht="15.6" customHeight="1" x14ac:dyDescent="0.35">
      <c r="A61" s="329">
        <v>45174</v>
      </c>
      <c r="B61" s="326" t="s">
        <v>93</v>
      </c>
      <c r="C61" s="742" t="s">
        <v>94</v>
      </c>
      <c r="D61" s="742" t="s">
        <v>59</v>
      </c>
      <c r="E61" s="327">
        <v>6.15</v>
      </c>
      <c r="F61" s="327">
        <v>-1.33</v>
      </c>
      <c r="G61" s="750">
        <v>7.48</v>
      </c>
      <c r="H61" s="746"/>
      <c r="I61" s="326"/>
      <c r="J61" s="326"/>
      <c r="K61" s="744"/>
      <c r="L61" s="327"/>
      <c r="M61" s="326"/>
      <c r="N61" s="746"/>
      <c r="O61" s="327"/>
      <c r="P61" s="327"/>
      <c r="Q61" s="327"/>
      <c r="R61" s="327"/>
      <c r="S61" s="750"/>
      <c r="T61" s="328"/>
      <c r="U61" s="328"/>
      <c r="V61" s="748"/>
    </row>
    <row r="62" spans="1:23" s="160" customFormat="1" ht="15.6" customHeight="1" x14ac:dyDescent="0.35">
      <c r="A62" s="329">
        <v>45301</v>
      </c>
      <c r="B62" s="326" t="s">
        <v>103</v>
      </c>
      <c r="C62" s="742" t="s">
        <v>94</v>
      </c>
      <c r="D62" s="742" t="s">
        <v>52</v>
      </c>
      <c r="E62" s="327" t="s">
        <v>61</v>
      </c>
      <c r="F62" s="327"/>
      <c r="G62" s="750"/>
      <c r="H62" s="746"/>
      <c r="I62" s="326"/>
      <c r="J62" s="326"/>
      <c r="K62" s="744"/>
      <c r="L62" s="327"/>
      <c r="M62" s="326"/>
      <c r="N62" s="746"/>
      <c r="O62" s="327"/>
      <c r="P62" s="327"/>
      <c r="Q62" s="327"/>
      <c r="R62" s="327"/>
      <c r="S62" s="750"/>
      <c r="T62" s="328"/>
      <c r="U62" s="328"/>
      <c r="V62" s="748"/>
    </row>
    <row r="63" spans="1:23" s="160" customFormat="1" ht="18" customHeight="1" x14ac:dyDescent="0.35">
      <c r="A63" s="329">
        <v>45407</v>
      </c>
      <c r="B63" s="326" t="s">
        <v>103</v>
      </c>
      <c r="C63" s="742" t="s">
        <v>94</v>
      </c>
      <c r="D63" s="742" t="s">
        <v>52</v>
      </c>
      <c r="E63" s="327" t="s">
        <v>61</v>
      </c>
      <c r="F63" s="327"/>
      <c r="G63" s="750"/>
      <c r="H63" s="746"/>
      <c r="I63" s="326"/>
      <c r="J63" s="326"/>
      <c r="K63" s="744"/>
      <c r="L63" s="327"/>
      <c r="M63" s="326"/>
      <c r="N63" s="746"/>
      <c r="O63" s="327"/>
      <c r="P63" s="327"/>
      <c r="Q63" s="327"/>
      <c r="R63" s="327"/>
      <c r="S63" s="750"/>
      <c r="T63" s="328"/>
      <c r="U63" s="328"/>
      <c r="V63" s="748"/>
    </row>
    <row r="64" spans="1:23" s="160" customFormat="1" ht="18" customHeight="1" x14ac:dyDescent="0.35">
      <c r="A64" s="329">
        <v>45554</v>
      </c>
      <c r="B64" s="326" t="s">
        <v>186</v>
      </c>
      <c r="C64" s="742" t="s">
        <v>94</v>
      </c>
      <c r="D64" s="742" t="s">
        <v>89</v>
      </c>
      <c r="E64" s="327" t="s">
        <v>61</v>
      </c>
      <c r="F64" s="327"/>
      <c r="G64" s="750"/>
      <c r="H64" s="746"/>
      <c r="I64" s="326"/>
      <c r="J64" s="326">
        <v>0.02</v>
      </c>
      <c r="K64" s="744"/>
      <c r="L64" s="327"/>
      <c r="M64" s="326"/>
      <c r="N64" s="746"/>
      <c r="O64" s="327"/>
      <c r="P64" s="327"/>
      <c r="Q64" s="327"/>
      <c r="R64" s="327"/>
      <c r="S64" s="750"/>
      <c r="T64" s="328"/>
      <c r="U64" s="328"/>
      <c r="V64" s="748"/>
    </row>
    <row r="65" spans="1:23" s="160" customFormat="1" ht="18" customHeight="1" x14ac:dyDescent="0.35">
      <c r="A65" s="329">
        <v>45785</v>
      </c>
      <c r="B65" s="326" t="s">
        <v>200</v>
      </c>
      <c r="C65" s="742" t="s">
        <v>94</v>
      </c>
      <c r="D65" s="742" t="s">
        <v>52</v>
      </c>
      <c r="E65" s="327" t="s">
        <v>61</v>
      </c>
      <c r="F65" s="327"/>
      <c r="G65" s="750"/>
      <c r="H65" s="746"/>
      <c r="I65" s="326"/>
      <c r="J65" s="326"/>
      <c r="K65" s="744"/>
      <c r="L65" s="327"/>
      <c r="M65" s="326"/>
      <c r="N65" s="746"/>
      <c r="O65" s="327"/>
      <c r="P65" s="327"/>
      <c r="Q65" s="327"/>
      <c r="R65" s="327"/>
      <c r="S65" s="750"/>
      <c r="T65" s="328"/>
      <c r="U65" s="328"/>
      <c r="V65" s="748"/>
    </row>
    <row r="66" spans="1:23" ht="13.95" customHeight="1" x14ac:dyDescent="0.35">
      <c r="A66" s="70"/>
      <c r="B66" s="70"/>
      <c r="C66" s="213"/>
      <c r="D66" s="213"/>
      <c r="E66" s="71"/>
      <c r="F66" s="71"/>
      <c r="G66" s="206"/>
      <c r="H66" s="206"/>
      <c r="I66" s="70"/>
      <c r="J66" s="70"/>
      <c r="K66" s="213"/>
      <c r="L66" s="70"/>
      <c r="M66" s="70"/>
      <c r="N66" s="206"/>
      <c r="O66" s="71"/>
      <c r="P66" s="71"/>
      <c r="Q66" s="71"/>
      <c r="R66" s="71"/>
      <c r="S66" s="357"/>
      <c r="T66" s="248"/>
      <c r="U66" s="248"/>
      <c r="V66" s="253"/>
    </row>
    <row r="67" spans="1:23" s="224" customFormat="1" ht="13.95" customHeight="1" x14ac:dyDescent="0.35">
      <c r="A67" s="604">
        <v>45407</v>
      </c>
      <c r="B67" s="601" t="s">
        <v>103</v>
      </c>
      <c r="C67" s="743" t="s">
        <v>162</v>
      </c>
      <c r="D67" s="743" t="s">
        <v>52</v>
      </c>
      <c r="E67" s="602">
        <v>10</v>
      </c>
      <c r="F67" s="602">
        <v>-1.18</v>
      </c>
      <c r="G67" s="751">
        <v>11.18</v>
      </c>
      <c r="H67" s="747"/>
      <c r="I67" s="601"/>
      <c r="J67" s="601">
        <v>5.64</v>
      </c>
      <c r="K67" s="745">
        <v>0.43435865086108216</v>
      </c>
      <c r="L67" s="602">
        <v>5.54</v>
      </c>
      <c r="M67" s="601"/>
      <c r="N67" s="747"/>
      <c r="O67" s="602"/>
      <c r="P67" s="602">
        <v>2.4497827908565033</v>
      </c>
      <c r="Q67" s="602"/>
      <c r="R67" s="602"/>
      <c r="S67" s="751"/>
      <c r="T67" s="603">
        <v>393339.75199999998</v>
      </c>
      <c r="U67" s="603">
        <v>6700332.2029999997</v>
      </c>
      <c r="V67" s="749">
        <v>1367.413</v>
      </c>
    </row>
    <row r="68" spans="1:23" s="224" customFormat="1" ht="13.95" customHeight="1" x14ac:dyDescent="0.35">
      <c r="A68" s="604">
        <v>45554</v>
      </c>
      <c r="B68" s="601" t="s">
        <v>186</v>
      </c>
      <c r="C68" s="743" t="s">
        <v>162</v>
      </c>
      <c r="D68" s="743" t="s">
        <v>89</v>
      </c>
      <c r="E68" s="602">
        <v>10</v>
      </c>
      <c r="F68" s="602">
        <v>1.82</v>
      </c>
      <c r="G68" s="751">
        <v>8.18</v>
      </c>
      <c r="H68" s="747"/>
      <c r="I68" s="601"/>
      <c r="J68" s="601">
        <v>0.02</v>
      </c>
      <c r="K68" s="745">
        <v>0.6</v>
      </c>
      <c r="L68" s="602"/>
      <c r="M68" s="601"/>
      <c r="N68" s="747"/>
      <c r="O68" s="602"/>
      <c r="P68" s="602"/>
      <c r="Q68" s="602"/>
      <c r="R68" s="602"/>
      <c r="S68" s="751">
        <v>1.2E-2</v>
      </c>
      <c r="T68" s="603"/>
      <c r="U68" s="603"/>
      <c r="V68" s="749"/>
    </row>
    <row r="69" spans="1:23" s="224" customFormat="1" ht="13.95" customHeight="1" x14ac:dyDescent="0.35">
      <c r="A69" s="604">
        <v>45554</v>
      </c>
      <c r="B69" s="601" t="s">
        <v>186</v>
      </c>
      <c r="C69" s="743" t="s">
        <v>162</v>
      </c>
      <c r="D69" s="743" t="s">
        <v>196</v>
      </c>
      <c r="E69" s="602">
        <v>10</v>
      </c>
      <c r="F69" s="602">
        <v>1.84</v>
      </c>
      <c r="G69" s="751">
        <v>8.16</v>
      </c>
      <c r="H69" s="747"/>
      <c r="I69" s="601"/>
      <c r="J69" s="602">
        <v>2.62</v>
      </c>
      <c r="K69" s="745">
        <v>0.56999999999999995</v>
      </c>
      <c r="L69" s="602">
        <f>G69-J69</f>
        <v>5.54</v>
      </c>
      <c r="M69" s="601"/>
      <c r="N69" s="747"/>
      <c r="O69" s="602">
        <v>-0.95638279085650346</v>
      </c>
      <c r="P69" s="602"/>
      <c r="Q69" s="602">
        <v>1.4933999999999998</v>
      </c>
      <c r="R69" s="602"/>
      <c r="S69" s="751"/>
      <c r="T69" s="603">
        <v>393345.391</v>
      </c>
      <c r="U69" s="603">
        <v>6700328.8770000003</v>
      </c>
      <c r="V69" s="749">
        <v>1364.405</v>
      </c>
      <c r="W69" s="224" t="s">
        <v>199</v>
      </c>
    </row>
    <row r="70" spans="1:23" s="224" customFormat="1" ht="13.95" customHeight="1" x14ac:dyDescent="0.35">
      <c r="A70" s="604">
        <v>45554</v>
      </c>
      <c r="B70" s="601" t="s">
        <v>186</v>
      </c>
      <c r="C70" s="743" t="s">
        <v>162</v>
      </c>
      <c r="D70" s="743" t="s">
        <v>89</v>
      </c>
      <c r="E70" s="602">
        <v>12.6</v>
      </c>
      <c r="F70" s="602">
        <v>4.42</v>
      </c>
      <c r="G70" s="751">
        <v>8.18</v>
      </c>
      <c r="H70" s="747"/>
      <c r="I70" s="601"/>
      <c r="J70" s="602"/>
      <c r="K70" s="745"/>
      <c r="L70" s="602"/>
      <c r="M70" s="601"/>
      <c r="N70" s="747"/>
      <c r="O70" s="602"/>
      <c r="P70" s="602"/>
      <c r="Q70" s="602"/>
      <c r="R70" s="602"/>
      <c r="S70" s="751"/>
      <c r="T70" s="603"/>
      <c r="U70" s="603"/>
      <c r="V70" s="749"/>
    </row>
    <row r="71" spans="1:23" s="224" customFormat="1" ht="13.95" customHeight="1" x14ac:dyDescent="0.35">
      <c r="A71" s="604">
        <v>45659</v>
      </c>
      <c r="B71" s="601" t="s">
        <v>200</v>
      </c>
      <c r="C71" s="743" t="s">
        <v>162</v>
      </c>
      <c r="D71" s="743" t="s">
        <v>89</v>
      </c>
      <c r="E71" s="602" t="s">
        <v>61</v>
      </c>
      <c r="F71" s="602"/>
      <c r="G71" s="751"/>
      <c r="H71" s="747"/>
      <c r="I71" s="601"/>
      <c r="J71" s="602"/>
      <c r="K71" s="745"/>
      <c r="L71" s="602"/>
      <c r="M71" s="601"/>
      <c r="N71" s="747"/>
      <c r="O71" s="602"/>
      <c r="P71" s="602"/>
      <c r="Q71" s="602"/>
      <c r="R71" s="602"/>
      <c r="S71" s="751"/>
      <c r="T71" s="603"/>
      <c r="U71" s="603"/>
      <c r="V71" s="749"/>
    </row>
    <row r="72" spans="1:23" s="224" customFormat="1" ht="13.95" customHeight="1" x14ac:dyDescent="0.35">
      <c r="A72" s="604">
        <v>45785</v>
      </c>
      <c r="B72" s="601" t="s">
        <v>200</v>
      </c>
      <c r="C72" s="743" t="s">
        <v>162</v>
      </c>
      <c r="D72" s="743" t="s">
        <v>52</v>
      </c>
      <c r="E72" s="602" t="s">
        <v>61</v>
      </c>
      <c r="F72" s="602"/>
      <c r="G72" s="751"/>
      <c r="H72" s="747"/>
      <c r="I72" s="601"/>
      <c r="J72" s="602"/>
      <c r="K72" s="745"/>
      <c r="L72" s="602"/>
      <c r="M72" s="601"/>
      <c r="N72" s="747"/>
      <c r="O72" s="602"/>
      <c r="P72" s="602"/>
      <c r="Q72" s="602"/>
      <c r="R72" s="602"/>
      <c r="S72" s="751"/>
      <c r="T72" s="603"/>
      <c r="U72" s="603"/>
      <c r="V72" s="749"/>
    </row>
    <row r="73" spans="1:23" ht="13.95" customHeight="1" x14ac:dyDescent="0.35">
      <c r="A73" s="70"/>
      <c r="B73" s="70"/>
      <c r="C73" s="213"/>
      <c r="D73" s="213"/>
      <c r="E73" s="71"/>
      <c r="F73" s="71"/>
      <c r="G73" s="206"/>
      <c r="H73" s="206"/>
      <c r="I73" s="70"/>
      <c r="J73" s="70"/>
      <c r="K73" s="213"/>
      <c r="L73" s="70"/>
      <c r="M73" s="70"/>
      <c r="N73" s="206"/>
      <c r="O73" s="71"/>
      <c r="P73" s="71"/>
      <c r="Q73" s="71"/>
      <c r="R73" s="102"/>
      <c r="S73" s="300"/>
      <c r="T73" s="248"/>
      <c r="U73" s="248"/>
      <c r="V73" s="253"/>
    </row>
    <row r="74" spans="1:23" ht="13.95" customHeight="1" x14ac:dyDescent="0.35">
      <c r="A74" s="841">
        <v>45785</v>
      </c>
      <c r="B74" s="839" t="s">
        <v>200</v>
      </c>
      <c r="C74" s="894" t="s">
        <v>257</v>
      </c>
      <c r="D74" s="894" t="s">
        <v>52</v>
      </c>
      <c r="E74" s="840">
        <v>10</v>
      </c>
      <c r="F74" s="840">
        <v>1.0900000000000001</v>
      </c>
      <c r="G74" s="895">
        <f>E74-F74</f>
        <v>8.91</v>
      </c>
      <c r="H74" s="896"/>
      <c r="I74" s="839"/>
      <c r="J74" s="839">
        <f>SiteY_PitCore_20250508!I3</f>
        <v>9.52</v>
      </c>
      <c r="K74" s="916">
        <f>SiteY_PitCore_20250508!I4</f>
        <v>0.4554775765605843</v>
      </c>
      <c r="L74" s="840">
        <f>G74-J74</f>
        <v>-0.60999999999999943</v>
      </c>
      <c r="M74" s="839"/>
      <c r="N74" s="896"/>
      <c r="O74" s="840"/>
      <c r="P74" s="840">
        <f>J74*K74</f>
        <v>4.3361465288567622</v>
      </c>
      <c r="Q74" s="840"/>
      <c r="R74" s="875"/>
      <c r="S74" s="917"/>
      <c r="T74" s="876">
        <v>393330.87800000003</v>
      </c>
      <c r="U74" s="876">
        <v>6700327.1919999998</v>
      </c>
      <c r="V74" s="918">
        <v>1372.577</v>
      </c>
      <c r="W74" s="838"/>
    </row>
    <row r="75" spans="1:23" ht="13.95" customHeight="1" x14ac:dyDescent="0.35">
      <c r="A75" s="841">
        <v>45785</v>
      </c>
      <c r="B75" s="839" t="s">
        <v>200</v>
      </c>
      <c r="C75" s="894" t="s">
        <v>257</v>
      </c>
      <c r="D75" s="894" t="s">
        <v>52</v>
      </c>
      <c r="E75" s="840">
        <v>10</v>
      </c>
      <c r="F75" s="840">
        <v>1.0900000000000001</v>
      </c>
      <c r="G75" s="895">
        <f>E75-F75</f>
        <v>8.91</v>
      </c>
      <c r="H75" s="896"/>
      <c r="I75" s="839"/>
      <c r="J75" s="839"/>
      <c r="K75" s="894"/>
      <c r="L75" s="839"/>
      <c r="M75" s="839"/>
      <c r="N75" s="896"/>
      <c r="O75" s="840"/>
      <c r="P75" s="840"/>
      <c r="Q75" s="840"/>
      <c r="R75" s="875"/>
      <c r="S75" s="917"/>
      <c r="T75" s="876">
        <v>393330.87800000003</v>
      </c>
      <c r="U75" s="876">
        <v>6700327.1919999998</v>
      </c>
      <c r="V75" s="918">
        <v>1372.577</v>
      </c>
      <c r="W75" s="838"/>
    </row>
    <row r="76" spans="1:23" ht="13.95" customHeight="1" x14ac:dyDescent="0.35">
      <c r="A76" s="839"/>
      <c r="B76" s="839"/>
      <c r="C76" s="894"/>
      <c r="D76" s="894"/>
      <c r="E76" s="840"/>
      <c r="F76" s="840"/>
      <c r="G76" s="896"/>
      <c r="H76" s="896"/>
      <c r="I76" s="839"/>
      <c r="J76" s="839"/>
      <c r="K76" s="894"/>
      <c r="L76" s="839"/>
      <c r="M76" s="839"/>
      <c r="N76" s="896"/>
      <c r="O76" s="840"/>
      <c r="P76" s="840"/>
      <c r="Q76" s="840"/>
      <c r="R76" s="875"/>
      <c r="S76" s="917"/>
      <c r="T76" s="876"/>
      <c r="U76" s="876"/>
      <c r="V76" s="918"/>
      <c r="W76" s="838"/>
    </row>
    <row r="77" spans="1:23" ht="13.95" customHeight="1" x14ac:dyDescent="0.35">
      <c r="A77" s="839"/>
      <c r="B77" s="839"/>
      <c r="C77" s="894"/>
      <c r="D77" s="894"/>
      <c r="E77" s="840"/>
      <c r="F77" s="840"/>
      <c r="G77" s="896"/>
      <c r="H77" s="896"/>
      <c r="I77" s="839"/>
      <c r="J77" s="839"/>
      <c r="K77" s="894"/>
      <c r="L77" s="839"/>
      <c r="M77" s="839"/>
      <c r="N77" s="896"/>
      <c r="O77" s="840"/>
      <c r="P77" s="840"/>
      <c r="Q77" s="840"/>
      <c r="R77" s="875"/>
      <c r="S77" s="917"/>
      <c r="T77" s="876"/>
      <c r="U77" s="876"/>
      <c r="V77" s="918"/>
      <c r="W77" s="838"/>
    </row>
    <row r="78" spans="1:23" ht="13.95" customHeight="1" x14ac:dyDescent="0.35">
      <c r="A78" s="839"/>
      <c r="B78" s="839"/>
      <c r="C78" s="894"/>
      <c r="D78" s="894"/>
      <c r="E78" s="840"/>
      <c r="F78" s="840"/>
      <c r="G78" s="896"/>
      <c r="H78" s="896"/>
      <c r="I78" s="839"/>
      <c r="J78" s="839"/>
      <c r="K78" s="894"/>
      <c r="L78" s="839"/>
      <c r="M78" s="839"/>
      <c r="N78" s="896"/>
      <c r="O78" s="840"/>
      <c r="P78" s="840"/>
      <c r="Q78" s="840"/>
      <c r="R78" s="875"/>
      <c r="S78" s="917"/>
      <c r="T78" s="876"/>
      <c r="U78" s="876"/>
      <c r="V78" s="918"/>
      <c r="W78" s="838"/>
    </row>
    <row r="79" spans="1:23" ht="15.6" thickBot="1" x14ac:dyDescent="0.4">
      <c r="A79" s="70"/>
      <c r="B79" s="70"/>
      <c r="C79" s="70"/>
      <c r="D79" s="70"/>
      <c r="E79" s="71"/>
      <c r="F79" s="71"/>
      <c r="G79" s="70"/>
      <c r="H79" s="70"/>
      <c r="I79" s="70"/>
      <c r="J79" s="70"/>
      <c r="K79" s="70"/>
      <c r="L79" s="70"/>
      <c r="M79" s="70"/>
      <c r="N79" s="70"/>
      <c r="O79" s="71"/>
      <c r="P79" s="71"/>
      <c r="Q79" s="71"/>
      <c r="R79" s="102"/>
      <c r="S79" s="102"/>
      <c r="T79" s="248"/>
      <c r="U79" s="248"/>
      <c r="V79" s="252"/>
    </row>
    <row r="80" spans="1:23" ht="14.4" customHeight="1" x14ac:dyDescent="0.35">
      <c r="A80" s="932" t="s">
        <v>37</v>
      </c>
      <c r="B80" s="933"/>
      <c r="C80" s="936" t="s">
        <v>38</v>
      </c>
      <c r="D80" s="937"/>
      <c r="E80" s="126" t="s">
        <v>39</v>
      </c>
      <c r="F80" s="74"/>
      <c r="G80" s="73" t="s">
        <v>40</v>
      </c>
      <c r="H80" s="74"/>
      <c r="I80" s="99" t="s">
        <v>41</v>
      </c>
      <c r="Q80" s="353"/>
      <c r="R80" s="354"/>
      <c r="S80" s="354"/>
      <c r="T80" s="249"/>
      <c r="U80" s="248"/>
      <c r="V80" s="252"/>
    </row>
    <row r="81" spans="1:21" ht="14.4" customHeight="1" x14ac:dyDescent="0.3">
      <c r="A81" s="934"/>
      <c r="B81" s="935"/>
      <c r="C81" s="824" t="s">
        <v>42</v>
      </c>
      <c r="D81" s="76" t="s">
        <v>43</v>
      </c>
      <c r="E81" s="127">
        <f>A70</f>
        <v>45554</v>
      </c>
      <c r="F81" s="77" t="s">
        <v>44</v>
      </c>
      <c r="G81" s="127">
        <f>A74</f>
        <v>45785</v>
      </c>
      <c r="H81" s="77" t="s">
        <v>44</v>
      </c>
      <c r="I81" s="79" t="s">
        <v>54</v>
      </c>
      <c r="Q81" s="353"/>
      <c r="R81" s="774"/>
      <c r="S81" s="774"/>
      <c r="T81" s="68"/>
      <c r="U81" s="72"/>
    </row>
    <row r="82" spans="1:21" ht="14.4" x14ac:dyDescent="0.3">
      <c r="A82" s="81"/>
      <c r="B82" s="82" t="s">
        <v>45</v>
      </c>
      <c r="C82" s="844">
        <f>P74</f>
        <v>4.3361465288567622</v>
      </c>
      <c r="D82" s="83"/>
      <c r="E82" s="83"/>
      <c r="F82" s="84"/>
      <c r="G82" s="85"/>
      <c r="H82" s="83"/>
      <c r="I82" s="100"/>
      <c r="Q82" s="353"/>
      <c r="R82" s="774"/>
      <c r="S82" s="774"/>
      <c r="T82" s="68"/>
      <c r="U82" s="72"/>
    </row>
    <row r="83" spans="1:21" ht="14.4" x14ac:dyDescent="0.3">
      <c r="A83" s="81"/>
      <c r="B83" s="82" t="s">
        <v>46</v>
      </c>
      <c r="C83" s="845" t="s">
        <v>54</v>
      </c>
      <c r="D83" s="83"/>
      <c r="E83" s="83"/>
      <c r="F83" s="84"/>
      <c r="G83" s="85"/>
      <c r="H83" s="83"/>
      <c r="I83" s="100"/>
      <c r="Q83" s="353"/>
      <c r="R83" s="774"/>
      <c r="S83" s="774"/>
      <c r="T83" s="68"/>
      <c r="U83" s="72"/>
    </row>
    <row r="84" spans="1:21" ht="14.4" x14ac:dyDescent="0.3">
      <c r="A84" s="81"/>
      <c r="B84" s="82" t="s">
        <v>47</v>
      </c>
      <c r="C84" s="845" t="s">
        <v>54</v>
      </c>
      <c r="D84" s="83"/>
      <c r="E84" s="83"/>
      <c r="F84" s="84"/>
      <c r="G84" s="85"/>
      <c r="H84" s="83"/>
      <c r="I84" s="100"/>
      <c r="Q84" s="353"/>
      <c r="R84" s="774"/>
      <c r="S84" s="774"/>
      <c r="T84" s="68"/>
      <c r="U84" s="72"/>
    </row>
    <row r="85" spans="1:21" ht="14.4" x14ac:dyDescent="0.3">
      <c r="A85" s="81"/>
      <c r="B85" s="87" t="s">
        <v>48</v>
      </c>
      <c r="C85" s="845">
        <f>S68</f>
        <v>1.2E-2</v>
      </c>
      <c r="D85" s="83"/>
      <c r="E85" s="83"/>
      <c r="F85" s="84"/>
      <c r="G85" s="83"/>
      <c r="H85" s="83"/>
      <c r="I85" s="100"/>
      <c r="Q85" s="353"/>
      <c r="R85" s="774"/>
      <c r="S85" s="774"/>
      <c r="T85" s="68"/>
      <c r="U85" s="72"/>
    </row>
    <row r="86" spans="1:21" ht="14.4" x14ac:dyDescent="0.3">
      <c r="A86" s="81"/>
      <c r="B86" s="88" t="s">
        <v>49</v>
      </c>
      <c r="C86" s="845" t="s">
        <v>54</v>
      </c>
      <c r="D86" s="83"/>
      <c r="E86" s="83"/>
      <c r="F86" s="84"/>
      <c r="G86" s="83"/>
      <c r="H86" s="83"/>
      <c r="I86" s="100"/>
      <c r="Q86" s="353"/>
      <c r="R86" s="774"/>
      <c r="S86" s="774"/>
      <c r="T86" s="68"/>
      <c r="U86" s="72"/>
    </row>
    <row r="87" spans="1:21" ht="15" thickBot="1" x14ac:dyDescent="0.35">
      <c r="A87" s="89"/>
      <c r="B87" s="90" t="s">
        <v>50</v>
      </c>
      <c r="C87" s="846" t="s">
        <v>54</v>
      </c>
      <c r="D87" s="91"/>
      <c r="E87" s="91"/>
      <c r="F87" s="92"/>
      <c r="G87" s="93"/>
      <c r="H87" s="93"/>
      <c r="I87" s="101"/>
      <c r="Q87" s="353"/>
      <c r="R87" s="774"/>
      <c r="S87" s="774"/>
      <c r="T87" s="68"/>
      <c r="U87" s="72"/>
    </row>
    <row r="88" spans="1:21" ht="14.4" x14ac:dyDescent="0.3">
      <c r="A88" s="72"/>
      <c r="B88" s="72"/>
      <c r="C88" s="72"/>
      <c r="D88" s="72"/>
      <c r="E88" s="72"/>
      <c r="F88" s="72"/>
      <c r="G88" s="72"/>
      <c r="H88" s="72"/>
      <c r="I88" s="72"/>
      <c r="J88" s="72"/>
      <c r="K88" s="72"/>
      <c r="L88" s="72"/>
      <c r="M88" s="72"/>
      <c r="N88" s="72"/>
      <c r="O88" s="102"/>
      <c r="P88" s="102"/>
      <c r="Q88" s="354"/>
      <c r="R88" s="354"/>
      <c r="S88" s="354"/>
      <c r="T88" s="68"/>
      <c r="U88" s="72"/>
    </row>
  </sheetData>
  <mergeCells count="6">
    <mergeCell ref="T1:V1"/>
    <mergeCell ref="T2:U2"/>
    <mergeCell ref="E3:G3"/>
    <mergeCell ref="T3:U3"/>
    <mergeCell ref="A80:B81"/>
    <mergeCell ref="C80:D80"/>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0"/>
  <sheetViews>
    <sheetView tabSelected="1" zoomScale="80" zoomScaleNormal="80" workbookViewId="0">
      <selection activeCell="G25" sqref="G25"/>
    </sheetView>
  </sheetViews>
  <sheetFormatPr defaultColWidth="17.109375" defaultRowHeight="15.75" customHeight="1" x14ac:dyDescent="0.3"/>
  <cols>
    <col min="1" max="1" width="12.44140625" style="2" customWidth="1"/>
    <col min="2" max="2" width="27.109375" style="2" customWidth="1"/>
    <col min="3" max="3" width="11.109375" style="2" bestFit="1" customWidth="1"/>
    <col min="4" max="4" width="20" style="2" bestFit="1" customWidth="1"/>
    <col min="5" max="5" width="12.44140625" style="2" bestFit="1" customWidth="1"/>
    <col min="6" max="7" width="13.88671875" style="2" bestFit="1" customWidth="1"/>
    <col min="8" max="8" width="14.44140625" style="2" bestFit="1" customWidth="1"/>
    <col min="9" max="9" width="17.109375" style="2" bestFit="1" customWidth="1"/>
    <col min="10" max="10" width="19.5546875" style="2" bestFit="1" customWidth="1"/>
    <col min="11" max="11" width="16.44140625" style="2" bestFit="1" customWidth="1"/>
    <col min="12" max="12" width="18" style="2" customWidth="1"/>
    <col min="13" max="13" width="22.109375" style="2" customWidth="1"/>
    <col min="14" max="14" width="11.5546875" style="2" bestFit="1" customWidth="1"/>
    <col min="15" max="15" width="11.109375" style="3" bestFit="1" customWidth="1"/>
    <col min="16" max="17" width="7.88671875" style="3" bestFit="1" customWidth="1"/>
    <col min="18" max="18" width="11.44140625" style="3" customWidth="1"/>
    <col min="19" max="19" width="14.109375" style="3" customWidth="1"/>
    <col min="20" max="20" width="16.109375" style="2" customWidth="1"/>
    <col min="21" max="21" width="12.6640625" style="2" customWidth="1"/>
    <col min="22" max="16384" width="17.109375" style="2"/>
  </cols>
  <sheetData>
    <row r="1" spans="1:23" ht="14.4" x14ac:dyDescent="0.3">
      <c r="A1" s="5"/>
      <c r="B1" s="6"/>
      <c r="C1" s="7"/>
      <c r="D1" s="8"/>
      <c r="E1" s="9"/>
      <c r="F1" s="10"/>
      <c r="G1" s="11"/>
      <c r="H1" s="12"/>
      <c r="I1" s="11"/>
      <c r="J1" s="13"/>
      <c r="K1" s="10"/>
      <c r="L1" s="14"/>
      <c r="M1" s="15"/>
      <c r="N1" s="11"/>
      <c r="O1" s="847"/>
      <c r="P1" s="347"/>
      <c r="Q1" s="347"/>
      <c r="R1" s="347"/>
      <c r="S1" s="769"/>
      <c r="T1" s="938" t="s">
        <v>9</v>
      </c>
      <c r="U1" s="939"/>
      <c r="V1" s="940"/>
      <c r="W1" s="19"/>
    </row>
    <row r="2" spans="1:23" ht="14.4" x14ac:dyDescent="0.3">
      <c r="A2" s="20"/>
      <c r="B2" s="21"/>
      <c r="C2" s="22"/>
      <c r="D2" s="23"/>
      <c r="E2" s="808"/>
      <c r="F2" s="809"/>
      <c r="G2" s="24"/>
      <c r="H2" s="25"/>
      <c r="I2" s="24"/>
      <c r="J2" s="26"/>
      <c r="K2" s="27"/>
      <c r="L2" s="28"/>
      <c r="M2" s="29"/>
      <c r="N2" s="26"/>
      <c r="O2" s="848"/>
      <c r="S2" s="715"/>
      <c r="T2" s="941" t="s">
        <v>10</v>
      </c>
      <c r="U2" s="942"/>
      <c r="V2" s="810"/>
      <c r="W2" s="30"/>
    </row>
    <row r="3" spans="1:23" ht="14.4" x14ac:dyDescent="0.3">
      <c r="A3" s="20"/>
      <c r="B3" s="21"/>
      <c r="C3" s="22"/>
      <c r="D3" s="31"/>
      <c r="E3" s="927" t="s">
        <v>11</v>
      </c>
      <c r="F3" s="928"/>
      <c r="G3" s="929"/>
      <c r="H3" s="32"/>
      <c r="I3" s="809"/>
      <c r="J3" s="26"/>
      <c r="K3" s="809"/>
      <c r="L3" s="33"/>
      <c r="M3" s="34"/>
      <c r="N3" s="26"/>
      <c r="O3" s="849"/>
      <c r="P3" s="97"/>
      <c r="Q3" s="97"/>
      <c r="R3" s="864"/>
      <c r="S3" s="770"/>
      <c r="T3" s="930" t="s">
        <v>12</v>
      </c>
      <c r="U3" s="931"/>
      <c r="V3" s="810"/>
      <c r="W3" s="38"/>
    </row>
    <row r="4" spans="1:23" s="52" customFormat="1" ht="39.6" x14ac:dyDescent="0.3">
      <c r="A4" s="39" t="s">
        <v>13</v>
      </c>
      <c r="B4" s="40" t="s">
        <v>14</v>
      </c>
      <c r="C4" s="41" t="s">
        <v>15</v>
      </c>
      <c r="D4" s="42" t="s">
        <v>16</v>
      </c>
      <c r="E4" s="43" t="s">
        <v>17</v>
      </c>
      <c r="F4" s="40" t="s">
        <v>18</v>
      </c>
      <c r="G4" s="44" t="s">
        <v>19</v>
      </c>
      <c r="H4" s="45" t="s">
        <v>20</v>
      </c>
      <c r="I4" s="44" t="s">
        <v>21</v>
      </c>
      <c r="J4" s="44" t="s">
        <v>22</v>
      </c>
      <c r="K4" s="40" t="s">
        <v>23</v>
      </c>
      <c r="L4" s="46" t="s">
        <v>24</v>
      </c>
      <c r="M4" s="46" t="s">
        <v>25</v>
      </c>
      <c r="N4" s="44" t="s">
        <v>26</v>
      </c>
      <c r="O4" s="850" t="s">
        <v>27</v>
      </c>
      <c r="P4" s="98" t="s">
        <v>28</v>
      </c>
      <c r="Q4" s="98" t="s">
        <v>29</v>
      </c>
      <c r="R4" s="878" t="s">
        <v>7</v>
      </c>
      <c r="S4" s="879" t="s">
        <v>8</v>
      </c>
      <c r="T4" s="50" t="s">
        <v>30</v>
      </c>
      <c r="U4" s="50" t="s">
        <v>31</v>
      </c>
      <c r="V4" s="51" t="s">
        <v>2</v>
      </c>
      <c r="W4" s="41" t="s">
        <v>32</v>
      </c>
    </row>
    <row r="5" spans="1:23" ht="15" thickBot="1" x14ac:dyDescent="0.35">
      <c r="A5" s="53" t="s">
        <v>33</v>
      </c>
      <c r="B5" s="54"/>
      <c r="C5" s="55"/>
      <c r="D5" s="56"/>
      <c r="E5" s="57" t="s">
        <v>34</v>
      </c>
      <c r="F5" s="57" t="s">
        <v>34</v>
      </c>
      <c r="G5" s="133" t="s">
        <v>34</v>
      </c>
      <c r="H5" s="134" t="s">
        <v>34</v>
      </c>
      <c r="I5" s="57" t="s">
        <v>34</v>
      </c>
      <c r="J5" s="57" t="s">
        <v>34</v>
      </c>
      <c r="K5" s="58" t="s">
        <v>35</v>
      </c>
      <c r="L5" s="59" t="s">
        <v>34</v>
      </c>
      <c r="M5" s="60" t="s">
        <v>34</v>
      </c>
      <c r="N5" s="60" t="s">
        <v>35</v>
      </c>
      <c r="O5" s="851" t="s">
        <v>36</v>
      </c>
      <c r="P5" s="348" t="s">
        <v>36</v>
      </c>
      <c r="Q5" s="348" t="s">
        <v>36</v>
      </c>
      <c r="R5" s="866" t="s">
        <v>36</v>
      </c>
      <c r="S5" s="772" t="s">
        <v>36</v>
      </c>
      <c r="T5" s="65" t="s">
        <v>34</v>
      </c>
      <c r="U5" s="65" t="s">
        <v>34</v>
      </c>
      <c r="V5" s="66" t="s">
        <v>34</v>
      </c>
      <c r="W5" s="67"/>
    </row>
    <row r="6" spans="1:23" ht="14.4" x14ac:dyDescent="0.3">
      <c r="A6" s="269">
        <v>44679</v>
      </c>
      <c r="B6" s="266" t="s">
        <v>81</v>
      </c>
      <c r="C6" s="759" t="s">
        <v>87</v>
      </c>
      <c r="D6" s="759" t="s">
        <v>52</v>
      </c>
      <c r="E6" s="267">
        <v>12.2</v>
      </c>
      <c r="F6" s="267">
        <v>0.8</v>
      </c>
      <c r="G6" s="752">
        <v>11.399999999999999</v>
      </c>
      <c r="H6" s="755"/>
      <c r="I6" s="266"/>
      <c r="J6" s="266">
        <v>7.77</v>
      </c>
      <c r="K6" s="267">
        <v>0.37</v>
      </c>
      <c r="L6" s="267">
        <v>3.629999999999999</v>
      </c>
      <c r="M6" s="266"/>
      <c r="N6" s="758"/>
      <c r="O6" s="267"/>
      <c r="P6" s="267">
        <v>2.8748999999999998</v>
      </c>
      <c r="Q6" s="267"/>
      <c r="R6" s="267"/>
      <c r="S6" s="752"/>
      <c r="T6" s="266"/>
      <c r="U6" s="266"/>
      <c r="V6" s="766"/>
      <c r="W6" s="761"/>
    </row>
    <row r="7" spans="1:23" ht="14.4" x14ac:dyDescent="0.3">
      <c r="A7" s="269">
        <v>44822</v>
      </c>
      <c r="B7" s="266" t="s">
        <v>81</v>
      </c>
      <c r="C7" s="760" t="s">
        <v>87</v>
      </c>
      <c r="D7" s="760" t="s">
        <v>52</v>
      </c>
      <c r="E7" s="267">
        <v>6.1</v>
      </c>
      <c r="F7" s="267">
        <v>0.05</v>
      </c>
      <c r="G7" s="753">
        <v>6.05</v>
      </c>
      <c r="H7" s="756"/>
      <c r="I7" s="266"/>
      <c r="J7" s="266"/>
      <c r="K7" s="266"/>
      <c r="L7" s="266"/>
      <c r="M7" s="266"/>
      <c r="N7" s="754"/>
      <c r="O7" s="267"/>
      <c r="P7" s="267"/>
      <c r="Q7" s="267"/>
      <c r="R7" s="267"/>
      <c r="S7" s="753"/>
      <c r="T7" s="267"/>
      <c r="U7" s="267"/>
      <c r="V7" s="767"/>
      <c r="W7" s="762"/>
    </row>
    <row r="8" spans="1:23" ht="14.4" x14ac:dyDescent="0.3">
      <c r="A8" s="269">
        <v>44822</v>
      </c>
      <c r="B8" s="266" t="s">
        <v>81</v>
      </c>
      <c r="C8" s="760" t="s">
        <v>87</v>
      </c>
      <c r="D8" s="760" t="s">
        <v>52</v>
      </c>
      <c r="E8" s="267">
        <v>10.25</v>
      </c>
      <c r="F8" s="267">
        <v>4.2</v>
      </c>
      <c r="G8" s="754">
        <v>6.05</v>
      </c>
      <c r="H8" s="756"/>
      <c r="I8" s="266"/>
      <c r="J8" s="266">
        <v>2.1</v>
      </c>
      <c r="K8" s="267">
        <v>0.59</v>
      </c>
      <c r="L8" s="266"/>
      <c r="M8" s="266"/>
      <c r="N8" s="754"/>
      <c r="O8" s="267">
        <v>-1.6358999999999999</v>
      </c>
      <c r="P8" s="267"/>
      <c r="Q8" s="267">
        <v>1.2389999999999999</v>
      </c>
      <c r="R8" s="267"/>
      <c r="S8" s="753">
        <v>0</v>
      </c>
      <c r="T8" s="267"/>
      <c r="U8" s="267"/>
      <c r="V8" s="767"/>
      <c r="W8" s="762"/>
    </row>
    <row r="9" spans="1:23" ht="14.4" x14ac:dyDescent="0.3">
      <c r="A9" s="269">
        <v>44911</v>
      </c>
      <c r="B9" s="266" t="s">
        <v>90</v>
      </c>
      <c r="C9" s="760" t="s">
        <v>87</v>
      </c>
      <c r="D9" s="760" t="s">
        <v>89</v>
      </c>
      <c r="E9" s="267">
        <v>10.25</v>
      </c>
      <c r="F9" s="267">
        <v>2.16</v>
      </c>
      <c r="G9" s="753">
        <v>8.09</v>
      </c>
      <c r="H9" s="757">
        <v>2.04</v>
      </c>
      <c r="I9" s="266"/>
      <c r="J9" s="266"/>
      <c r="K9" s="266"/>
      <c r="L9" s="266"/>
      <c r="M9" s="266"/>
      <c r="N9" s="754"/>
      <c r="O9" s="267"/>
      <c r="P9" s="267"/>
      <c r="Q9" s="267"/>
      <c r="R9" s="267"/>
      <c r="S9" s="753"/>
      <c r="T9" s="267"/>
      <c r="U9" s="267"/>
      <c r="V9" s="767"/>
      <c r="W9" s="762"/>
    </row>
    <row r="10" spans="1:23" ht="14.4" x14ac:dyDescent="0.3">
      <c r="A10" s="269">
        <v>44911</v>
      </c>
      <c r="B10" s="266" t="s">
        <v>90</v>
      </c>
      <c r="C10" s="760" t="s">
        <v>87</v>
      </c>
      <c r="D10" s="760" t="s">
        <v>89</v>
      </c>
      <c r="E10" s="267">
        <v>12.2</v>
      </c>
      <c r="F10" s="267">
        <v>4.1099999999999994</v>
      </c>
      <c r="G10" s="753">
        <v>8.09</v>
      </c>
      <c r="H10" s="757"/>
      <c r="I10" s="266"/>
      <c r="J10" s="266"/>
      <c r="K10" s="266"/>
      <c r="L10" s="266"/>
      <c r="M10" s="266"/>
      <c r="N10" s="754"/>
      <c r="O10" s="267"/>
      <c r="P10" s="267"/>
      <c r="Q10" s="267"/>
      <c r="R10" s="267"/>
      <c r="S10" s="753"/>
      <c r="T10" s="267"/>
      <c r="U10" s="267"/>
      <c r="V10" s="767"/>
      <c r="W10" s="762"/>
    </row>
    <row r="11" spans="1:23" ht="14.4" x14ac:dyDescent="0.3">
      <c r="A11" s="269">
        <v>45174</v>
      </c>
      <c r="B11" s="266" t="s">
        <v>93</v>
      </c>
      <c r="C11" s="760" t="s">
        <v>87</v>
      </c>
      <c r="D11" s="760" t="s">
        <v>59</v>
      </c>
      <c r="E11" s="267">
        <v>9.15</v>
      </c>
      <c r="F11" s="267">
        <v>1.38</v>
      </c>
      <c r="G11" s="753">
        <v>7.7700000000000005</v>
      </c>
      <c r="H11" s="757"/>
      <c r="I11" s="266"/>
      <c r="J11" s="266">
        <v>1.61</v>
      </c>
      <c r="K11" s="267">
        <v>0.60529077804870202</v>
      </c>
      <c r="L11" s="267">
        <v>6.16</v>
      </c>
      <c r="M11" s="266"/>
      <c r="N11" s="754"/>
      <c r="O11" s="267"/>
      <c r="P11" s="267"/>
      <c r="Q11" s="267"/>
      <c r="R11" s="267" t="s">
        <v>54</v>
      </c>
      <c r="S11" s="753"/>
      <c r="T11" s="267"/>
      <c r="U11" s="267"/>
      <c r="V11" s="767"/>
      <c r="W11" s="762"/>
    </row>
    <row r="12" spans="1:23" ht="14.4" x14ac:dyDescent="0.3">
      <c r="A12" s="269">
        <v>45174</v>
      </c>
      <c r="B12" s="266" t="s">
        <v>93</v>
      </c>
      <c r="C12" s="760" t="s">
        <v>87</v>
      </c>
      <c r="D12" s="760" t="s">
        <v>59</v>
      </c>
      <c r="E12" s="267">
        <v>12.2</v>
      </c>
      <c r="F12" s="267">
        <v>4.43</v>
      </c>
      <c r="G12" s="753">
        <v>7.77</v>
      </c>
      <c r="H12" s="757"/>
      <c r="I12" s="266"/>
      <c r="J12" s="266"/>
      <c r="K12" s="266"/>
      <c r="L12" s="266"/>
      <c r="M12" s="266"/>
      <c r="N12" s="754"/>
      <c r="O12" s="267"/>
      <c r="P12" s="267"/>
      <c r="Q12" s="267"/>
      <c r="R12" s="267"/>
      <c r="S12" s="753"/>
      <c r="T12" s="267"/>
      <c r="U12" s="267"/>
      <c r="V12" s="767"/>
      <c r="W12" s="762"/>
    </row>
    <row r="13" spans="1:23" ht="14.4" x14ac:dyDescent="0.3">
      <c r="A13" s="269">
        <v>45301</v>
      </c>
      <c r="B13" s="266" t="s">
        <v>103</v>
      </c>
      <c r="C13" s="760" t="s">
        <v>87</v>
      </c>
      <c r="D13" s="760" t="s">
        <v>52</v>
      </c>
      <c r="E13" s="267" t="s">
        <v>61</v>
      </c>
      <c r="F13" s="267"/>
      <c r="G13" s="753"/>
      <c r="H13" s="757"/>
      <c r="I13" s="266"/>
      <c r="J13" s="266"/>
      <c r="K13" s="266"/>
      <c r="L13" s="266"/>
      <c r="M13" s="266"/>
      <c r="N13" s="754"/>
      <c r="O13" s="267"/>
      <c r="P13" s="267"/>
      <c r="Q13" s="267"/>
      <c r="R13" s="267"/>
      <c r="S13" s="753"/>
      <c r="T13" s="267"/>
      <c r="U13" s="267"/>
      <c r="V13" s="767"/>
      <c r="W13" s="762"/>
    </row>
    <row r="14" spans="1:23" ht="14.4" x14ac:dyDescent="0.3">
      <c r="A14" s="269">
        <v>45554</v>
      </c>
      <c r="B14" s="266" t="s">
        <v>186</v>
      </c>
      <c r="C14" s="760" t="s">
        <v>87</v>
      </c>
      <c r="D14" s="760" t="s">
        <v>89</v>
      </c>
      <c r="E14" s="267">
        <v>12.2</v>
      </c>
      <c r="F14" s="267">
        <v>0.5</v>
      </c>
      <c r="G14" s="753">
        <v>11.7</v>
      </c>
      <c r="H14" s="757"/>
      <c r="I14" s="266"/>
      <c r="J14" s="266">
        <v>0.02</v>
      </c>
      <c r="K14" s="266"/>
      <c r="L14" s="266"/>
      <c r="M14" s="266"/>
      <c r="N14" s="754"/>
      <c r="O14" s="267"/>
      <c r="P14" s="267"/>
      <c r="Q14" s="267"/>
      <c r="R14" s="267"/>
      <c r="S14" s="753"/>
      <c r="T14" s="267"/>
      <c r="U14" s="267"/>
      <c r="V14" s="767"/>
      <c r="W14" s="762"/>
    </row>
    <row r="15" spans="1:23" ht="14.4" x14ac:dyDescent="0.3">
      <c r="A15" s="269">
        <v>45554</v>
      </c>
      <c r="B15" s="266" t="s">
        <v>186</v>
      </c>
      <c r="C15" s="760" t="s">
        <v>87</v>
      </c>
      <c r="D15" s="760" t="s">
        <v>196</v>
      </c>
      <c r="E15" s="267">
        <v>12.2</v>
      </c>
      <c r="F15" s="267"/>
      <c r="G15" s="753"/>
      <c r="H15" s="757"/>
      <c r="I15" s="266"/>
      <c r="J15" s="266"/>
      <c r="K15" s="266"/>
      <c r="L15" s="266"/>
      <c r="M15" s="266"/>
      <c r="N15" s="754"/>
      <c r="O15" s="267"/>
      <c r="P15" s="267"/>
      <c r="Q15" s="267"/>
      <c r="R15" s="267"/>
      <c r="S15" s="753"/>
      <c r="T15" s="267"/>
      <c r="U15" s="267"/>
      <c r="V15" s="767"/>
      <c r="W15" s="762" t="s">
        <v>198</v>
      </c>
    </row>
    <row r="16" spans="1:23" ht="14.4" x14ac:dyDescent="0.3">
      <c r="A16" s="269">
        <v>45554</v>
      </c>
      <c r="B16" s="266" t="s">
        <v>186</v>
      </c>
      <c r="C16" s="760" t="s">
        <v>87</v>
      </c>
      <c r="D16" s="760" t="s">
        <v>196</v>
      </c>
      <c r="E16" s="267">
        <v>12.2</v>
      </c>
      <c r="F16" s="267"/>
      <c r="G16" s="753"/>
      <c r="H16" s="757"/>
      <c r="I16" s="266"/>
      <c r="J16" s="266"/>
      <c r="K16" s="266"/>
      <c r="L16" s="266"/>
      <c r="M16" s="266"/>
      <c r="N16" s="754"/>
      <c r="O16" s="267"/>
      <c r="P16" s="267"/>
      <c r="Q16" s="267"/>
      <c r="R16" s="267"/>
      <c r="S16" s="753"/>
      <c r="T16" s="267"/>
      <c r="U16" s="267"/>
      <c r="V16" s="767"/>
      <c r="W16" s="762"/>
    </row>
    <row r="17" spans="1:24" ht="14.4" x14ac:dyDescent="0.3">
      <c r="A17" s="269">
        <v>45785</v>
      </c>
      <c r="B17" s="266" t="s">
        <v>200</v>
      </c>
      <c r="C17" s="760" t="s">
        <v>87</v>
      </c>
      <c r="D17" s="760" t="s">
        <v>52</v>
      </c>
      <c r="E17" s="267" t="s">
        <v>61</v>
      </c>
      <c r="F17" s="267"/>
      <c r="G17" s="753"/>
      <c r="H17" s="757"/>
      <c r="I17" s="266"/>
      <c r="J17" s="266"/>
      <c r="K17" s="266"/>
      <c r="L17" s="266"/>
      <c r="M17" s="266"/>
      <c r="N17" s="754"/>
      <c r="O17" s="267"/>
      <c r="P17" s="267"/>
      <c r="Q17" s="267"/>
      <c r="R17" s="267"/>
      <c r="S17" s="753"/>
      <c r="T17" s="267"/>
      <c r="U17" s="267"/>
      <c r="V17" s="767"/>
      <c r="W17" s="762"/>
    </row>
    <row r="18" spans="1:24" ht="14.4" x14ac:dyDescent="0.3">
      <c r="A18" s="70"/>
      <c r="B18" s="70"/>
      <c r="C18" s="213"/>
      <c r="D18" s="213"/>
      <c r="E18" s="71"/>
      <c r="F18" s="71"/>
      <c r="G18" s="206"/>
      <c r="H18" s="209"/>
      <c r="I18" s="70"/>
      <c r="J18" s="70"/>
      <c r="K18" s="70"/>
      <c r="L18" s="70"/>
      <c r="M18" s="70"/>
      <c r="N18" s="206"/>
      <c r="O18" s="71"/>
      <c r="P18" s="71"/>
      <c r="Q18" s="71"/>
      <c r="R18" s="71"/>
      <c r="S18" s="357"/>
      <c r="T18" s="71"/>
      <c r="U18" s="71"/>
      <c r="V18" s="356"/>
      <c r="W18" s="763"/>
    </row>
    <row r="19" spans="1:24" s="236" customFormat="1" ht="14.4" x14ac:dyDescent="0.3">
      <c r="A19" s="333">
        <v>45051</v>
      </c>
      <c r="B19" s="330" t="s">
        <v>93</v>
      </c>
      <c r="C19" s="334" t="s">
        <v>95</v>
      </c>
      <c r="D19" s="334" t="s">
        <v>52</v>
      </c>
      <c r="E19" s="331">
        <v>12.2</v>
      </c>
      <c r="F19" s="331">
        <v>0.9</v>
      </c>
      <c r="G19" s="339">
        <v>11.299999999999999</v>
      </c>
      <c r="H19" s="336"/>
      <c r="I19" s="330"/>
      <c r="J19" s="330">
        <v>5.42</v>
      </c>
      <c r="K19" s="331">
        <v>0.42</v>
      </c>
      <c r="L19" s="331">
        <v>5.879999999999999</v>
      </c>
      <c r="M19" s="330"/>
      <c r="N19" s="335"/>
      <c r="O19" s="331"/>
      <c r="P19" s="331">
        <v>2.2763999999999998</v>
      </c>
      <c r="Q19" s="331"/>
      <c r="R19" s="331"/>
      <c r="S19" s="339"/>
      <c r="T19" s="331">
        <v>394624.446</v>
      </c>
      <c r="U19" s="331">
        <v>6700382.6770000001</v>
      </c>
      <c r="V19" s="244">
        <v>1349.546</v>
      </c>
      <c r="W19" s="764"/>
    </row>
    <row r="20" spans="1:24" s="236" customFormat="1" ht="14.4" x14ac:dyDescent="0.3">
      <c r="A20" s="333">
        <v>45174</v>
      </c>
      <c r="B20" s="330" t="s">
        <v>93</v>
      </c>
      <c r="C20" s="334" t="s">
        <v>95</v>
      </c>
      <c r="D20" s="334" t="s">
        <v>59</v>
      </c>
      <c r="E20" s="331">
        <v>9.15</v>
      </c>
      <c r="F20" s="331">
        <v>1.86</v>
      </c>
      <c r="G20" s="339">
        <v>7.29</v>
      </c>
      <c r="H20" s="336"/>
      <c r="I20" s="330"/>
      <c r="J20" s="330">
        <v>1.61</v>
      </c>
      <c r="K20" s="331">
        <v>0.61</v>
      </c>
      <c r="L20" s="331">
        <v>5.68</v>
      </c>
      <c r="M20" s="330"/>
      <c r="N20" s="335"/>
      <c r="O20" s="331">
        <v>-1.2942999999999998</v>
      </c>
      <c r="P20" s="331"/>
      <c r="Q20" s="331">
        <v>0.98210000000000008</v>
      </c>
      <c r="R20" s="331"/>
      <c r="S20" s="339">
        <v>0</v>
      </c>
      <c r="T20" s="331"/>
      <c r="U20" s="331"/>
      <c r="V20" s="244"/>
      <c r="W20" s="764"/>
    </row>
    <row r="21" spans="1:24" s="236" customFormat="1" ht="14.4" x14ac:dyDescent="0.3">
      <c r="A21" s="333">
        <v>45174</v>
      </c>
      <c r="B21" s="330" t="s">
        <v>93</v>
      </c>
      <c r="C21" s="334" t="s">
        <v>95</v>
      </c>
      <c r="D21" s="334" t="s">
        <v>59</v>
      </c>
      <c r="E21" s="331">
        <v>12.2</v>
      </c>
      <c r="F21" s="331">
        <v>4.9099999999999993</v>
      </c>
      <c r="G21" s="339">
        <v>7.29</v>
      </c>
      <c r="H21" s="336"/>
      <c r="I21" s="330"/>
      <c r="J21" s="330"/>
      <c r="K21" s="331"/>
      <c r="L21" s="331"/>
      <c r="M21" s="330"/>
      <c r="N21" s="335"/>
      <c r="O21" s="331"/>
      <c r="P21" s="331"/>
      <c r="Q21" s="331"/>
      <c r="R21" s="331"/>
      <c r="S21" s="339"/>
      <c r="T21" s="331"/>
      <c r="U21" s="331"/>
      <c r="V21" s="244"/>
      <c r="W21" s="764"/>
    </row>
    <row r="22" spans="1:24" s="236" customFormat="1" ht="14.4" x14ac:dyDescent="0.3">
      <c r="A22" s="333">
        <v>45301</v>
      </c>
      <c r="B22" s="330" t="s">
        <v>103</v>
      </c>
      <c r="C22" s="334" t="s">
        <v>95</v>
      </c>
      <c r="D22" s="334" t="s">
        <v>52</v>
      </c>
      <c r="E22" s="331" t="s">
        <v>61</v>
      </c>
      <c r="F22" s="331"/>
      <c r="G22" s="339"/>
      <c r="H22" s="336"/>
      <c r="I22" s="330"/>
      <c r="J22" s="330"/>
      <c r="K22" s="331"/>
      <c r="L22" s="331"/>
      <c r="M22" s="330"/>
      <c r="N22" s="335"/>
      <c r="O22" s="331"/>
      <c r="P22" s="331"/>
      <c r="Q22" s="331"/>
      <c r="R22" s="331"/>
      <c r="S22" s="339"/>
      <c r="T22" s="331"/>
      <c r="U22" s="331"/>
      <c r="V22" s="244"/>
      <c r="W22" s="764"/>
    </row>
    <row r="23" spans="1:24" s="236" customFormat="1" ht="14.4" x14ac:dyDescent="0.3">
      <c r="A23" s="333">
        <v>45554</v>
      </c>
      <c r="B23" s="330" t="s">
        <v>186</v>
      </c>
      <c r="C23" s="334" t="s">
        <v>95</v>
      </c>
      <c r="D23" s="334" t="s">
        <v>89</v>
      </c>
      <c r="E23" s="331">
        <v>11.6</v>
      </c>
      <c r="F23" s="331">
        <v>1.37</v>
      </c>
      <c r="G23" s="339">
        <v>10.23</v>
      </c>
      <c r="H23" s="336"/>
      <c r="I23" s="330"/>
      <c r="J23" s="330">
        <v>0.02</v>
      </c>
      <c r="K23" s="331"/>
      <c r="L23" s="331"/>
      <c r="M23" s="330"/>
      <c r="N23" s="335"/>
      <c r="O23" s="331"/>
      <c r="P23" s="331"/>
      <c r="Q23" s="331"/>
      <c r="R23" s="331"/>
      <c r="S23" s="339"/>
      <c r="T23" s="331"/>
      <c r="U23" s="331"/>
      <c r="V23" s="244"/>
      <c r="W23" s="764"/>
    </row>
    <row r="24" spans="1:24" s="236" customFormat="1" ht="14.4" x14ac:dyDescent="0.3">
      <c r="A24" s="333">
        <v>45554</v>
      </c>
      <c r="B24" s="330" t="s">
        <v>186</v>
      </c>
      <c r="C24" s="334" t="s">
        <v>95</v>
      </c>
      <c r="D24" s="334" t="s">
        <v>196</v>
      </c>
      <c r="E24" s="331">
        <v>11.6</v>
      </c>
      <c r="F24" s="331">
        <v>1.3900000000000001</v>
      </c>
      <c r="G24" s="339">
        <v>10.209999999999999</v>
      </c>
      <c r="H24" s="336"/>
      <c r="I24" s="330"/>
      <c r="J24" s="330"/>
      <c r="K24" s="331"/>
      <c r="L24" s="331">
        <v>8.0699999999999985</v>
      </c>
      <c r="M24" s="330"/>
      <c r="N24" s="335"/>
      <c r="O24" s="331"/>
      <c r="P24" s="331"/>
      <c r="Q24" s="331"/>
      <c r="R24" s="331"/>
      <c r="S24" s="339"/>
      <c r="T24" s="331"/>
      <c r="U24" s="331"/>
      <c r="V24" s="244"/>
      <c r="W24" s="764"/>
    </row>
    <row r="25" spans="1:24" s="236" customFormat="1" ht="14.4" x14ac:dyDescent="0.3">
      <c r="A25" s="333">
        <v>45554</v>
      </c>
      <c r="B25" s="330" t="s">
        <v>186</v>
      </c>
      <c r="C25" s="334" t="s">
        <v>95</v>
      </c>
      <c r="D25" s="334" t="s">
        <v>196</v>
      </c>
      <c r="E25" s="331">
        <v>12.2</v>
      </c>
      <c r="F25" s="331">
        <v>1.9900000000000002</v>
      </c>
      <c r="G25" s="339">
        <v>10.209999999999999</v>
      </c>
      <c r="H25" s="336"/>
      <c r="I25" s="330"/>
      <c r="J25" s="330"/>
      <c r="K25" s="331"/>
      <c r="L25" s="331"/>
      <c r="M25" s="330"/>
      <c r="N25" s="335"/>
      <c r="O25" s="331"/>
      <c r="P25" s="331"/>
      <c r="Q25" s="331"/>
      <c r="R25" s="331"/>
      <c r="S25" s="339"/>
      <c r="T25" s="331"/>
      <c r="U25" s="331"/>
      <c r="V25" s="244"/>
      <c r="W25" s="764"/>
    </row>
    <row r="26" spans="1:24" s="236" customFormat="1" ht="14.4" x14ac:dyDescent="0.3">
      <c r="A26" s="333">
        <v>45785</v>
      </c>
      <c r="B26" s="330" t="s">
        <v>186</v>
      </c>
      <c r="C26" s="334" t="s">
        <v>95</v>
      </c>
      <c r="D26" s="334" t="s">
        <v>52</v>
      </c>
      <c r="E26" s="331" t="s">
        <v>61</v>
      </c>
      <c r="F26" s="331"/>
      <c r="G26" s="339"/>
      <c r="H26" s="336"/>
      <c r="I26" s="330"/>
      <c r="J26" s="330"/>
      <c r="K26" s="331"/>
      <c r="L26" s="331"/>
      <c r="M26" s="330"/>
      <c r="N26" s="335"/>
      <c r="O26" s="331"/>
      <c r="P26" s="331"/>
      <c r="Q26" s="331"/>
      <c r="R26" s="331"/>
      <c r="S26" s="339"/>
      <c r="T26" s="331"/>
      <c r="U26" s="331"/>
      <c r="V26" s="244"/>
      <c r="W26" s="764"/>
    </row>
    <row r="27" spans="1:24" ht="14.4" x14ac:dyDescent="0.3">
      <c r="A27" s="70"/>
      <c r="B27" s="70"/>
      <c r="C27" s="213"/>
      <c r="D27" s="213"/>
      <c r="E27" s="71"/>
      <c r="F27" s="71"/>
      <c r="G27" s="206"/>
      <c r="H27" s="209"/>
      <c r="I27" s="70"/>
      <c r="J27" s="70"/>
      <c r="K27" s="70"/>
      <c r="L27" s="70"/>
      <c r="M27" s="70"/>
      <c r="N27" s="206"/>
      <c r="O27" s="71"/>
      <c r="P27" s="71"/>
      <c r="Q27" s="71"/>
      <c r="R27" s="71"/>
      <c r="S27" s="357"/>
      <c r="T27" s="71"/>
      <c r="U27" s="71"/>
      <c r="V27" s="356"/>
      <c r="W27" s="763"/>
    </row>
    <row r="28" spans="1:24" s="696" customFormat="1" ht="14.4" x14ac:dyDescent="0.3">
      <c r="A28" s="697">
        <v>45408</v>
      </c>
      <c r="B28" s="268" t="s">
        <v>194</v>
      </c>
      <c r="C28" s="703" t="s">
        <v>195</v>
      </c>
      <c r="D28" s="703" t="s">
        <v>52</v>
      </c>
      <c r="E28" s="694">
        <v>12</v>
      </c>
      <c r="F28" s="694">
        <v>0.05</v>
      </c>
      <c r="G28" s="706">
        <v>11.95</v>
      </c>
      <c r="H28" s="704"/>
      <c r="I28" s="268"/>
      <c r="J28" s="268"/>
      <c r="K28" s="268"/>
      <c r="L28" s="268"/>
      <c r="M28" s="268"/>
      <c r="N28" s="218"/>
      <c r="O28" s="694"/>
      <c r="P28" s="694"/>
      <c r="Q28" s="694"/>
      <c r="R28" s="694"/>
      <c r="S28" s="706"/>
      <c r="T28" s="694"/>
      <c r="U28" s="694"/>
      <c r="V28" s="717"/>
      <c r="W28" s="765"/>
    </row>
    <row r="29" spans="1:24" s="696" customFormat="1" ht="14.4" x14ac:dyDescent="0.3">
      <c r="A29" s="697">
        <v>45408</v>
      </c>
      <c r="B29" s="268" t="s">
        <v>194</v>
      </c>
      <c r="C29" s="703" t="s">
        <v>195</v>
      </c>
      <c r="D29" s="703" t="s">
        <v>52</v>
      </c>
      <c r="E29" s="694">
        <v>10</v>
      </c>
      <c r="F29" s="694">
        <v>-1.9499999999999993</v>
      </c>
      <c r="G29" s="706">
        <v>11.95</v>
      </c>
      <c r="H29" s="704"/>
      <c r="I29" s="268"/>
      <c r="J29" s="268">
        <v>5.82</v>
      </c>
      <c r="K29" s="694">
        <v>0.447128837986706</v>
      </c>
      <c r="L29" s="694">
        <v>6.129999999999999</v>
      </c>
      <c r="M29" s="268"/>
      <c r="N29" s="218"/>
      <c r="O29" s="694"/>
      <c r="P29" s="694">
        <v>2.6022898370826288</v>
      </c>
      <c r="Q29" s="694"/>
      <c r="R29" s="694"/>
      <c r="S29" s="706"/>
      <c r="T29" s="694">
        <v>394622.81699999998</v>
      </c>
      <c r="U29" s="694">
        <v>6700421.892</v>
      </c>
      <c r="V29" s="717">
        <v>1349.4369999999999</v>
      </c>
      <c r="W29" s="765"/>
    </row>
    <row r="30" spans="1:24" s="696" customFormat="1" ht="14.4" x14ac:dyDescent="0.3">
      <c r="A30" s="697">
        <v>45554</v>
      </c>
      <c r="B30" s="268" t="s">
        <v>186</v>
      </c>
      <c r="C30" s="703" t="s">
        <v>195</v>
      </c>
      <c r="D30" s="703" t="s">
        <v>89</v>
      </c>
      <c r="E30" s="694">
        <v>10</v>
      </c>
      <c r="F30" s="694">
        <v>1.71</v>
      </c>
      <c r="G30" s="706">
        <v>8.2899999999999991</v>
      </c>
      <c r="H30" s="704"/>
      <c r="I30" s="268"/>
      <c r="J30" s="268">
        <v>0.02</v>
      </c>
      <c r="K30" s="694">
        <v>0.6</v>
      </c>
      <c r="L30" s="694"/>
      <c r="M30" s="268"/>
      <c r="N30" s="218"/>
      <c r="O30" s="694"/>
      <c r="P30" s="694"/>
      <c r="Q30" s="694"/>
      <c r="R30" s="694"/>
      <c r="S30" s="706">
        <v>1.2E-2</v>
      </c>
      <c r="T30" s="694"/>
      <c r="U30" s="694"/>
      <c r="V30" s="717"/>
      <c r="W30" s="765"/>
    </row>
    <row r="31" spans="1:24" s="696" customFormat="1" ht="14.4" x14ac:dyDescent="0.3">
      <c r="A31" s="697">
        <v>45554</v>
      </c>
      <c r="B31" s="268" t="s">
        <v>186</v>
      </c>
      <c r="C31" s="703" t="s">
        <v>195</v>
      </c>
      <c r="D31" s="703" t="s">
        <v>196</v>
      </c>
      <c r="E31" s="694">
        <v>10</v>
      </c>
      <c r="F31" s="694">
        <v>1.73</v>
      </c>
      <c r="G31" s="706">
        <v>8.27</v>
      </c>
      <c r="H31" s="704"/>
      <c r="I31" s="268"/>
      <c r="J31" s="694">
        <v>2.1400000000000006</v>
      </c>
      <c r="K31" s="694">
        <v>0.56999999999999995</v>
      </c>
      <c r="L31" s="694"/>
      <c r="M31" s="268"/>
      <c r="N31" s="218"/>
      <c r="O31" s="694">
        <v>-1.3824898370826286</v>
      </c>
      <c r="P31" s="694"/>
      <c r="Q31" s="694">
        <v>1.2198000000000002</v>
      </c>
      <c r="R31" s="694"/>
      <c r="S31" s="706"/>
      <c r="T31" s="694">
        <v>394621.49599999998</v>
      </c>
      <c r="U31" s="694">
        <v>6700417.5420000004</v>
      </c>
      <c r="V31" s="717">
        <v>1346.2439999999999</v>
      </c>
      <c r="W31" s="765"/>
      <c r="X31" s="696" t="s">
        <v>199</v>
      </c>
    </row>
    <row r="32" spans="1:24" s="696" customFormat="1" ht="14.4" x14ac:dyDescent="0.3">
      <c r="A32" s="697">
        <v>45554</v>
      </c>
      <c r="B32" s="268" t="s">
        <v>186</v>
      </c>
      <c r="C32" s="703" t="s">
        <v>195</v>
      </c>
      <c r="D32" s="703" t="s">
        <v>196</v>
      </c>
      <c r="E32" s="694">
        <v>12.7</v>
      </c>
      <c r="F32" s="694">
        <v>4.43</v>
      </c>
      <c r="G32" s="706">
        <v>8.27</v>
      </c>
      <c r="H32" s="704"/>
      <c r="I32" s="268"/>
      <c r="J32" s="268"/>
      <c r="K32" s="694"/>
      <c r="L32" s="694"/>
      <c r="M32" s="268"/>
      <c r="N32" s="218"/>
      <c r="O32" s="694"/>
      <c r="P32" s="694"/>
      <c r="Q32" s="694"/>
      <c r="R32" s="694"/>
      <c r="S32" s="706"/>
      <c r="T32" s="694"/>
      <c r="U32" s="694"/>
      <c r="V32" s="717"/>
      <c r="W32" s="765"/>
    </row>
    <row r="33" spans="1:23" s="696" customFormat="1" ht="14.4" x14ac:dyDescent="0.3">
      <c r="A33" s="697">
        <v>45659</v>
      </c>
      <c r="B33" s="268" t="s">
        <v>200</v>
      </c>
      <c r="C33" s="703" t="s">
        <v>195</v>
      </c>
      <c r="D33" s="703" t="s">
        <v>89</v>
      </c>
      <c r="E33" s="694" t="s">
        <v>61</v>
      </c>
      <c r="F33" s="694"/>
      <c r="G33" s="706"/>
      <c r="H33" s="704"/>
      <c r="I33" s="268"/>
      <c r="J33" s="268"/>
      <c r="K33" s="694"/>
      <c r="L33" s="694"/>
      <c r="M33" s="268"/>
      <c r="N33" s="218"/>
      <c r="O33" s="694"/>
      <c r="P33" s="694"/>
      <c r="Q33" s="694"/>
      <c r="R33" s="694"/>
      <c r="S33" s="706"/>
      <c r="T33" s="694"/>
      <c r="U33" s="694"/>
      <c r="V33" s="717"/>
      <c r="W33" s="765"/>
    </row>
    <row r="34" spans="1:23" s="696" customFormat="1" ht="14.4" x14ac:dyDescent="0.3">
      <c r="A34" s="697">
        <v>45785</v>
      </c>
      <c r="B34" s="268" t="s">
        <v>200</v>
      </c>
      <c r="C34" s="703" t="s">
        <v>195</v>
      </c>
      <c r="D34" s="703" t="s">
        <v>52</v>
      </c>
      <c r="E34" s="694" t="s">
        <v>61</v>
      </c>
      <c r="F34" s="694"/>
      <c r="G34" s="706"/>
      <c r="H34" s="704"/>
      <c r="I34" s="268"/>
      <c r="J34" s="268"/>
      <c r="K34" s="694"/>
      <c r="L34" s="694"/>
      <c r="M34" s="268"/>
      <c r="N34" s="218"/>
      <c r="O34" s="694"/>
      <c r="P34" s="694"/>
      <c r="Q34" s="694"/>
      <c r="R34" s="694"/>
      <c r="S34" s="706"/>
      <c r="T34" s="694"/>
      <c r="U34" s="694"/>
      <c r="V34" s="717"/>
      <c r="W34" s="765"/>
    </row>
    <row r="35" spans="1:23" ht="14.4" x14ac:dyDescent="0.3">
      <c r="A35" s="70"/>
      <c r="B35" s="70"/>
      <c r="C35" s="213"/>
      <c r="D35" s="215"/>
      <c r="E35" s="71"/>
      <c r="F35" s="71"/>
      <c r="G35" s="206"/>
      <c r="H35" s="206"/>
      <c r="I35" s="70"/>
      <c r="J35" s="70"/>
      <c r="K35" s="70"/>
      <c r="L35" s="70"/>
      <c r="M35" s="70"/>
      <c r="N35" s="206"/>
      <c r="O35" s="71"/>
      <c r="P35" s="71"/>
      <c r="Q35" s="71"/>
      <c r="R35" s="71"/>
      <c r="S35" s="357"/>
      <c r="T35" s="70"/>
      <c r="U35" s="70"/>
      <c r="V35" s="106"/>
      <c r="W35" s="922"/>
    </row>
    <row r="36" spans="1:23" ht="14.4" x14ac:dyDescent="0.3">
      <c r="A36" s="329">
        <v>45785</v>
      </c>
      <c r="B36" s="326" t="s">
        <v>200</v>
      </c>
      <c r="C36" s="742" t="s">
        <v>258</v>
      </c>
      <c r="D36" s="921" t="s">
        <v>52</v>
      </c>
      <c r="E36" s="327">
        <v>10</v>
      </c>
      <c r="F36" s="327">
        <v>0.94</v>
      </c>
      <c r="G36" s="750">
        <f>E36-F36</f>
        <v>9.06</v>
      </c>
      <c r="H36" s="746"/>
      <c r="I36" s="327"/>
      <c r="J36" s="327">
        <f>SiteEC_FirnCore_20250509!I3</f>
        <v>9.3350000000000009</v>
      </c>
      <c r="K36" s="327">
        <f>SiteEC_FirnCore_20250509!I4</f>
        <v>0.44195975836225071</v>
      </c>
      <c r="L36" s="327">
        <f>G36-J36</f>
        <v>-0.27500000000000036</v>
      </c>
      <c r="M36" s="326"/>
      <c r="N36" s="746"/>
      <c r="O36" s="327"/>
      <c r="P36" s="327">
        <f>J36*K36</f>
        <v>4.1256943443116105</v>
      </c>
      <c r="Q36" s="327"/>
      <c r="R36" s="327"/>
      <c r="S36" s="750"/>
      <c r="T36" s="326">
        <v>394643.24200000003</v>
      </c>
      <c r="U36" s="326">
        <v>6700424.1179999998</v>
      </c>
      <c r="V36" s="920">
        <v>1355.471</v>
      </c>
      <c r="W36" s="923"/>
    </row>
    <row r="37" spans="1:23" ht="14.4" x14ac:dyDescent="0.3">
      <c r="A37" s="329">
        <v>45785</v>
      </c>
      <c r="B37" s="326" t="s">
        <v>200</v>
      </c>
      <c r="C37" s="742" t="s">
        <v>258</v>
      </c>
      <c r="D37" s="921" t="s">
        <v>52</v>
      </c>
      <c r="E37" s="327">
        <v>10</v>
      </c>
      <c r="F37" s="327">
        <v>0.94</v>
      </c>
      <c r="G37" s="750">
        <f>E37-F37</f>
        <v>9.06</v>
      </c>
      <c r="H37" s="746"/>
      <c r="I37" s="327"/>
      <c r="J37" s="327"/>
      <c r="K37" s="327"/>
      <c r="L37" s="326"/>
      <c r="M37" s="326"/>
      <c r="N37" s="746"/>
      <c r="O37" s="327"/>
      <c r="P37" s="327"/>
      <c r="Q37" s="327"/>
      <c r="R37" s="327"/>
      <c r="S37" s="750"/>
      <c r="T37" s="326">
        <v>394643.24200000003</v>
      </c>
      <c r="U37" s="326">
        <v>6700424.1179999998</v>
      </c>
      <c r="V37" s="920">
        <v>1355.471</v>
      </c>
      <c r="W37" s="923"/>
    </row>
    <row r="38" spans="1:23" ht="14.4" x14ac:dyDescent="0.3">
      <c r="A38" s="326"/>
      <c r="B38" s="326"/>
      <c r="C38" s="742"/>
      <c r="D38" s="921"/>
      <c r="E38" s="327"/>
      <c r="F38" s="327"/>
      <c r="G38" s="746"/>
      <c r="H38" s="746"/>
      <c r="I38" s="327"/>
      <c r="J38" s="327"/>
      <c r="K38" s="327"/>
      <c r="L38" s="326"/>
      <c r="M38" s="326"/>
      <c r="N38" s="746"/>
      <c r="O38" s="327"/>
      <c r="P38" s="327"/>
      <c r="Q38" s="327"/>
      <c r="R38" s="327"/>
      <c r="S38" s="750"/>
      <c r="T38" s="326"/>
      <c r="U38" s="326"/>
      <c r="V38" s="920"/>
      <c r="W38" s="923"/>
    </row>
    <row r="39" spans="1:23" ht="14.4" x14ac:dyDescent="0.3">
      <c r="A39" s="326"/>
      <c r="B39" s="326"/>
      <c r="C39" s="742"/>
      <c r="D39" s="921"/>
      <c r="E39" s="327"/>
      <c r="F39" s="327"/>
      <c r="G39" s="746"/>
      <c r="H39" s="746"/>
      <c r="I39" s="327"/>
      <c r="J39" s="327"/>
      <c r="K39" s="327"/>
      <c r="L39" s="326"/>
      <c r="M39" s="326"/>
      <c r="N39" s="746"/>
      <c r="O39" s="327"/>
      <c r="P39" s="327"/>
      <c r="Q39" s="327"/>
      <c r="R39" s="327"/>
      <c r="S39" s="750"/>
      <c r="T39" s="326"/>
      <c r="U39" s="326"/>
      <c r="V39" s="920"/>
      <c r="W39" s="923"/>
    </row>
    <row r="40" spans="1:23" ht="14.4" x14ac:dyDescent="0.3">
      <c r="A40" s="326"/>
      <c r="B40" s="326"/>
      <c r="C40" s="742"/>
      <c r="D40" s="921"/>
      <c r="E40" s="327"/>
      <c r="F40" s="327"/>
      <c r="G40" s="746"/>
      <c r="H40" s="746"/>
      <c r="I40" s="327"/>
      <c r="J40" s="327"/>
      <c r="K40" s="327"/>
      <c r="L40" s="326"/>
      <c r="M40" s="326"/>
      <c r="N40" s="746"/>
      <c r="O40" s="327"/>
      <c r="P40" s="327"/>
      <c r="Q40" s="327"/>
      <c r="R40" s="327"/>
      <c r="S40" s="750"/>
      <c r="T40" s="326"/>
      <c r="U40" s="326"/>
      <c r="V40" s="920"/>
      <c r="W40" s="923"/>
    </row>
    <row r="41" spans="1:23" ht="15" thickBot="1" x14ac:dyDescent="0.35">
      <c r="A41" s="70"/>
      <c r="B41" s="70"/>
      <c r="C41" s="70"/>
      <c r="D41" s="70"/>
      <c r="E41" s="71"/>
      <c r="F41" s="71"/>
      <c r="G41" s="70"/>
      <c r="H41" s="70"/>
      <c r="I41" s="70"/>
      <c r="J41" s="70"/>
      <c r="K41" s="70"/>
      <c r="L41" s="70"/>
      <c r="M41" s="70"/>
      <c r="N41" s="70"/>
      <c r="O41" s="71"/>
      <c r="P41" s="71"/>
      <c r="Q41" s="71"/>
      <c r="R41" s="71"/>
      <c r="S41" s="71"/>
      <c r="T41" s="70"/>
      <c r="U41" s="70"/>
      <c r="V41" s="104"/>
    </row>
    <row r="42" spans="1:23" ht="15" customHeight="1" x14ac:dyDescent="0.3">
      <c r="A42" s="932" t="s">
        <v>37</v>
      </c>
      <c r="B42" s="933"/>
      <c r="C42" s="936" t="s">
        <v>38</v>
      </c>
      <c r="D42" s="937"/>
      <c r="E42" s="126" t="s">
        <v>39</v>
      </c>
      <c r="F42" s="74"/>
      <c r="G42" s="73" t="s">
        <v>40</v>
      </c>
      <c r="H42" s="74"/>
      <c r="I42" s="99" t="s">
        <v>41</v>
      </c>
      <c r="Q42" s="353"/>
      <c r="R42" s="349"/>
      <c r="S42" s="349"/>
      <c r="T42" s="108"/>
      <c r="U42" s="70"/>
      <c r="V42" s="104"/>
    </row>
    <row r="43" spans="1:23" ht="14.4" customHeight="1" x14ac:dyDescent="0.3">
      <c r="A43" s="934"/>
      <c r="B43" s="935"/>
      <c r="C43" s="824" t="s">
        <v>42</v>
      </c>
      <c r="D43" s="76" t="s">
        <v>43</v>
      </c>
      <c r="E43" s="127">
        <f>A30</f>
        <v>45554</v>
      </c>
      <c r="F43" s="77" t="s">
        <v>44</v>
      </c>
      <c r="G43" s="127">
        <f>A36</f>
        <v>45785</v>
      </c>
      <c r="H43" s="77" t="s">
        <v>44</v>
      </c>
      <c r="I43" s="79" t="s">
        <v>54</v>
      </c>
      <c r="Q43" s="353"/>
      <c r="R43" s="880"/>
      <c r="S43" s="880"/>
      <c r="T43" s="108"/>
      <c r="U43" s="70"/>
      <c r="V43" s="104"/>
    </row>
    <row r="44" spans="1:23" ht="14.4" x14ac:dyDescent="0.3">
      <c r="A44" s="81"/>
      <c r="B44" s="82" t="s">
        <v>45</v>
      </c>
      <c r="C44" s="844">
        <f>P36</f>
        <v>4.1256943443116105</v>
      </c>
      <c r="D44" s="83"/>
      <c r="E44" s="83"/>
      <c r="F44" s="84"/>
      <c r="G44" s="85"/>
      <c r="H44" s="83"/>
      <c r="I44" s="100"/>
      <c r="Q44" s="353"/>
      <c r="R44" s="774"/>
      <c r="S44" s="774"/>
      <c r="T44" s="68"/>
      <c r="U44" s="72"/>
    </row>
    <row r="45" spans="1:23" ht="14.4" x14ac:dyDescent="0.3">
      <c r="A45" s="81"/>
      <c r="B45" s="82" t="s">
        <v>46</v>
      </c>
      <c r="C45" s="845" t="s">
        <v>54</v>
      </c>
      <c r="D45" s="83"/>
      <c r="E45" s="83"/>
      <c r="F45" s="84"/>
      <c r="G45" s="85"/>
      <c r="H45" s="83"/>
      <c r="I45" s="100"/>
      <c r="Q45" s="353"/>
      <c r="R45" s="774"/>
      <c r="S45" s="774"/>
      <c r="T45" s="68"/>
      <c r="U45" s="72"/>
    </row>
    <row r="46" spans="1:23" ht="15.75" customHeight="1" x14ac:dyDescent="0.3">
      <c r="A46" s="81"/>
      <c r="B46" s="82" t="s">
        <v>47</v>
      </c>
      <c r="C46" s="845" t="s">
        <v>54</v>
      </c>
      <c r="D46" s="83"/>
      <c r="E46" s="83"/>
      <c r="F46" s="84"/>
      <c r="G46" s="85"/>
      <c r="H46" s="83"/>
      <c r="I46" s="100"/>
      <c r="Q46" s="353"/>
      <c r="R46" s="774"/>
      <c r="S46" s="774"/>
      <c r="T46" s="68"/>
      <c r="U46" s="72"/>
    </row>
    <row r="47" spans="1:23" ht="15.75" customHeight="1" x14ac:dyDescent="0.3">
      <c r="A47" s="81"/>
      <c r="B47" s="87" t="s">
        <v>48</v>
      </c>
      <c r="C47" s="845">
        <f>S30</f>
        <v>1.2E-2</v>
      </c>
      <c r="D47" s="83"/>
      <c r="E47" s="83"/>
      <c r="F47" s="84"/>
      <c r="G47" s="83"/>
      <c r="H47" s="83"/>
      <c r="I47" s="100"/>
      <c r="Q47" s="353"/>
      <c r="R47" s="774"/>
      <c r="S47" s="774"/>
      <c r="T47" s="68"/>
      <c r="U47" s="72"/>
    </row>
    <row r="48" spans="1:23" ht="15.75" customHeight="1" x14ac:dyDescent="0.3">
      <c r="A48" s="81"/>
      <c r="B48" s="88" t="s">
        <v>49</v>
      </c>
      <c r="C48" s="845" t="s">
        <v>54</v>
      </c>
      <c r="D48" s="83"/>
      <c r="E48" s="83"/>
      <c r="F48" s="84"/>
      <c r="G48" s="83"/>
      <c r="H48" s="83"/>
      <c r="I48" s="100"/>
      <c r="Q48" s="353"/>
      <c r="R48" s="774"/>
      <c r="S48" s="774"/>
      <c r="T48" s="68"/>
      <c r="U48" s="72"/>
    </row>
    <row r="49" spans="1:21" ht="15.75" customHeight="1" thickBot="1" x14ac:dyDescent="0.35">
      <c r="A49" s="89"/>
      <c r="B49" s="90" t="s">
        <v>50</v>
      </c>
      <c r="C49" s="846" t="s">
        <v>54</v>
      </c>
      <c r="D49" s="91"/>
      <c r="E49" s="91"/>
      <c r="F49" s="92"/>
      <c r="G49" s="93"/>
      <c r="H49" s="93"/>
      <c r="I49" s="101"/>
      <c r="Q49" s="353"/>
      <c r="R49" s="774"/>
      <c r="S49" s="774"/>
      <c r="T49" s="68"/>
      <c r="U49" s="72"/>
    </row>
    <row r="50" spans="1:21" ht="15.75" customHeight="1" x14ac:dyDescent="0.3">
      <c r="A50" s="72"/>
      <c r="B50" s="72"/>
      <c r="C50" s="72"/>
      <c r="D50" s="72"/>
      <c r="E50" s="72"/>
      <c r="F50" s="72"/>
      <c r="G50" s="72"/>
      <c r="H50" s="72"/>
      <c r="I50" s="72"/>
      <c r="J50" s="72"/>
      <c r="K50" s="72"/>
      <c r="L50" s="72"/>
      <c r="M50" s="72"/>
      <c r="N50" s="72"/>
      <c r="O50" s="102"/>
      <c r="P50" s="102"/>
      <c r="Q50" s="354"/>
      <c r="R50" s="354"/>
      <c r="S50" s="354"/>
      <c r="T50" s="68"/>
      <c r="U50" s="72"/>
    </row>
  </sheetData>
  <mergeCells count="6">
    <mergeCell ref="A42:B43"/>
    <mergeCell ref="C42:D42"/>
    <mergeCell ref="T1:V1"/>
    <mergeCell ref="T2:U2"/>
    <mergeCell ref="E3:G3"/>
    <mergeCell ref="T3:U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Stake Summary</vt:lpstr>
      <vt:lpstr>AUU</vt:lpstr>
      <vt:lpstr>N</vt:lpstr>
      <vt:lpstr>B</vt:lpstr>
      <vt:lpstr>S</vt:lpstr>
      <vt:lpstr>C</vt:lpstr>
      <vt:lpstr>TU</vt:lpstr>
      <vt:lpstr>Y</vt:lpstr>
      <vt:lpstr>EC</vt:lpstr>
      <vt:lpstr>SiteAUU_Pit_20250510</vt:lpstr>
      <vt:lpstr>SiteN_Probes_20250508</vt:lpstr>
      <vt:lpstr>SiteB_PitCore_20250507</vt:lpstr>
      <vt:lpstr>SiteS_PitCore_20250507</vt:lpstr>
      <vt:lpstr>SiteC_PitCore_20250508</vt:lpstr>
      <vt:lpstr>SiteTU_PitCore_20250508</vt:lpstr>
      <vt:lpstr>SiteY_PitCore_20250508</vt:lpstr>
      <vt:lpstr>SiteEC_FirnCore_20250509</vt:lpstr>
      <vt:lpstr>QAQC</vt:lpstr>
    </vt:vector>
  </TitlesOfParts>
  <Company>Department of Interior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cmcneil</dc:creator>
  <cp:lastModifiedBy>Mcneil, Christopher J</cp:lastModifiedBy>
  <dcterms:created xsi:type="dcterms:W3CDTF">2018-05-02T03:11:21Z</dcterms:created>
  <dcterms:modified xsi:type="dcterms:W3CDTF">2025-08-07T01:16:04Z</dcterms:modified>
</cp:coreProperties>
</file>