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F152C455-F4EE-A944-A5D6-9A7A99A0A7FC}" xr6:coauthVersionLast="47" xr6:coauthVersionMax="47" xr10:uidLastSave="{00000000-0000-0000-0000-000000000000}"/>
  <bookViews>
    <workbookView xWindow="840" yWindow="500" windowWidth="27640" windowHeight="16940" activeTab="12" xr2:uid="{B23B133C-81ED-7B43-9939-1E3D3D9F0F4A}"/>
  </bookViews>
  <sheets>
    <sheet name="Q1 (a1)" sheetId="1" r:id="rId1"/>
    <sheet name="Q1 (a2)" sheetId="2" r:id="rId2"/>
    <sheet name="Q1 (b1)" sheetId="16" r:id="rId3"/>
    <sheet name="Q1 (b2)" sheetId="17" r:id="rId4"/>
    <sheet name="Q2 (a)" sheetId="3" r:id="rId5"/>
    <sheet name="Q2 (b)" sheetId="4" r:id="rId6"/>
    <sheet name="Q2 (3 old)" sheetId="5" state="hidden" r:id="rId7"/>
    <sheet name="Q2 (c)" sheetId="7" r:id="rId8"/>
    <sheet name="Q2 (d)" sheetId="6" r:id="rId9"/>
    <sheet name="Q5 (a)" sheetId="8" r:id="rId10"/>
    <sheet name="Q5 (b,c)" sheetId="14" r:id="rId11"/>
    <sheet name="Q5 (1)" sheetId="10" state="hidden" r:id="rId12"/>
    <sheet name="Q5 (d)" sheetId="15" r:id="rId13"/>
  </sheets>
  <externalReferences>
    <externalReference r:id="rId14"/>
  </externalReferences>
  <definedNames>
    <definedName name="a" localSheetId="10">'Q5 (b,c)'!$C$8</definedName>
    <definedName name="a">#REF!</definedName>
    <definedName name="AnnualCoupon" localSheetId="12">#REF!</definedName>
    <definedName name="AnnualCoupon">#REF!</definedName>
    <definedName name="AnnualCoupon1" localSheetId="12">#REF!</definedName>
    <definedName name="AnnualCoupon1">#REF!</definedName>
    <definedName name="AnnualCoupon2" localSheetId="12">#REF!</definedName>
    <definedName name="AnnualCoupon2">#REF!</definedName>
    <definedName name="BondPrice" localSheetId="12">#REF!</definedName>
    <definedName name="BondPrice">#REF!</definedName>
    <definedName name="BondPrice2" localSheetId="12">#REF!</definedName>
    <definedName name="BondPrice2">#REF!</definedName>
    <definedName name="FaceValue" localSheetId="12">#REF!</definedName>
    <definedName name="FaceValue">#REF!</definedName>
    <definedName name="federal" localSheetId="9">'Q5 (a)'!$H$2</definedName>
    <definedName name="Maturity" localSheetId="12">#REF!</definedName>
    <definedName name="Maturity">#REF!</definedName>
    <definedName name="Maturity2" localSheetId="12">#REF!</definedName>
    <definedName name="Maturity2">#REF!</definedName>
    <definedName name="n" localSheetId="10">'Q5 (b,c)'!$C$3</definedName>
    <definedName name="n">#REF!</definedName>
    <definedName name="PeriodCoupon" localSheetId="12">#REF!</definedName>
    <definedName name="PeriodCoupon">#REF!</definedName>
    <definedName name="PeriodCoupon2" localSheetId="12">#REF!</definedName>
    <definedName name="PeriodCoupon2">#REF!</definedName>
    <definedName name="SemiAnnualPeriod" localSheetId="12">#REF!</definedName>
    <definedName name="SemiAnnualPeriod">#REF!</definedName>
    <definedName name="SemiAnnualPeriod2" localSheetId="12">#REF!</definedName>
    <definedName name="SemiAnnualPeriod2">#REF!</definedName>
    <definedName name="solver_adj" localSheetId="10" hidden="1">'Q5 (b,c)'!$B$55:$B$57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itr" localSheetId="10" hidden="1">2147483647</definedName>
    <definedName name="solver_lhs1" localSheetId="10" hidden="1">'Q5 (b,c)'!$B$63:$B$64</definedName>
    <definedName name="solver_lin" localSheetId="10" hidden="1">2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1</definedName>
    <definedName name="solver_opt" localSheetId="10" hidden="1">'Q5 (b,c)'!$B$60</definedName>
    <definedName name="solver_pre" localSheetId="10" hidden="1">0.000001</definedName>
    <definedName name="solver_rbv" localSheetId="10" hidden="1">1</definedName>
    <definedName name="solver_rel1" localSheetId="10" hidden="1">2</definedName>
    <definedName name="solver_rhs1" localSheetId="10" hidden="1">'Q5 (b,c)'!$D$63:$D$64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3</definedName>
    <definedName name="solver_val" localSheetId="10" hidden="1">1</definedName>
    <definedName name="solver_ver" localSheetId="10" hidden="1">2</definedName>
    <definedName name="x" localSheetId="10">'Q5 (b,c)'!$C$10</definedName>
    <definedName name="X" localSheetId="12">#REF!</definedName>
    <definedName name="x">#REF!</definedName>
    <definedName name="Xa" localSheetId="12">#REF!</definedName>
    <definedName name="Xa">#REF!</definedName>
    <definedName name="Xb" localSheetId="12">#REF!</definedName>
    <definedName name="Xb">#REF!</definedName>
    <definedName name="Xc" localSheetId="12">#REF!</definedName>
    <definedName name="Xc">#REF!</definedName>
    <definedName name="XX" localSheetId="12">#REF!</definedName>
    <definedName name="XX">#REF!</definedName>
    <definedName name="y" localSheetId="10">'Q5 (b,c)'!$C$9</definedName>
    <definedName name="Y" localSheetId="12">#REF!</definedName>
    <definedName name="y">#REF!</definedName>
    <definedName name="Ya" localSheetId="12">#REF!</definedName>
    <definedName name="Ya">#REF!</definedName>
    <definedName name="Yb" localSheetId="12">#REF!</definedName>
    <definedName name="Yb">#REF!</definedName>
    <definedName name="Yc" localSheetId="12">#REF!</definedName>
    <definedName name="Y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8" l="1"/>
  <c r="C4" i="17"/>
  <c r="C5" i="17" s="1"/>
  <c r="C6" i="17" s="1"/>
  <c r="C7" i="17" s="1"/>
  <c r="C8" i="17" s="1"/>
  <c r="C9" i="17" s="1"/>
  <c r="C10" i="17" s="1"/>
  <c r="C3" i="17"/>
  <c r="C4" i="16"/>
  <c r="C5" i="16" s="1"/>
  <c r="C6" i="16" s="1"/>
  <c r="C7" i="16" s="1"/>
  <c r="C8" i="16" s="1"/>
  <c r="C9" i="16" s="1"/>
  <c r="C10" i="16" s="1"/>
  <c r="C3" i="16"/>
  <c r="B8" i="15"/>
  <c r="O1" i="15"/>
  <c r="K4" i="15" s="1"/>
  <c r="K3" i="15"/>
  <c r="H4" i="15"/>
  <c r="H3" i="15"/>
  <c r="H2" i="15"/>
  <c r="C14" i="8"/>
  <c r="F3" i="15"/>
  <c r="G3" i="15" s="1"/>
  <c r="F4" i="15"/>
  <c r="G4" i="15" s="1"/>
  <c r="I4" i="15" s="1"/>
  <c r="J4" i="15" s="1"/>
  <c r="F2" i="15"/>
  <c r="G2" i="15" s="1"/>
  <c r="I2" i="15" s="1"/>
  <c r="J2" i="15" s="1"/>
  <c r="B2" i="15"/>
  <c r="C12" i="17" l="1"/>
  <c r="B4" i="17"/>
  <c r="B5" i="17" s="1"/>
  <c r="B6" i="17" s="1"/>
  <c r="B7" i="17" s="1"/>
  <c r="B8" i="17" s="1"/>
  <c r="B9" i="17" s="1"/>
  <c r="B10" i="17" s="1"/>
  <c r="B4" i="16"/>
  <c r="B5" i="16" s="1"/>
  <c r="B6" i="16" s="1"/>
  <c r="B7" i="16" s="1"/>
  <c r="B8" i="16" s="1"/>
  <c r="B9" i="16" s="1"/>
  <c r="B10" i="16" s="1"/>
  <c r="I3" i="15"/>
  <c r="J3" i="15" s="1"/>
  <c r="B71" i="14" l="1"/>
  <c r="B70" i="14"/>
  <c r="B69" i="14"/>
  <c r="B64" i="14"/>
  <c r="B63" i="14"/>
  <c r="B60" i="14" l="1"/>
  <c r="E39" i="14"/>
  <c r="D39" i="14"/>
  <c r="E32" i="14"/>
  <c r="G31" i="14"/>
  <c r="F31" i="14"/>
  <c r="E31" i="14"/>
  <c r="D31" i="14"/>
  <c r="C31" i="14"/>
  <c r="G29" i="14"/>
  <c r="F29" i="14"/>
  <c r="E29" i="14"/>
  <c r="D29" i="14"/>
  <c r="C29" i="14"/>
  <c r="D28" i="14"/>
  <c r="G27" i="14"/>
  <c r="F27" i="14"/>
  <c r="E27" i="14"/>
  <c r="D27" i="14"/>
  <c r="C27" i="14"/>
  <c r="G23" i="14"/>
  <c r="F23" i="14"/>
  <c r="E23" i="14"/>
  <c r="D23" i="14"/>
  <c r="C23" i="14"/>
  <c r="G22" i="14"/>
  <c r="F22" i="14"/>
  <c r="E22" i="14"/>
  <c r="D22" i="14"/>
  <c r="C22" i="14"/>
  <c r="G21" i="14"/>
  <c r="F21" i="14"/>
  <c r="E21" i="14"/>
  <c r="D21" i="14"/>
  <c r="C21" i="14"/>
  <c r="G10" i="14"/>
  <c r="F10" i="14"/>
  <c r="E10" i="14"/>
  <c r="E13" i="14" s="1"/>
  <c r="D10" i="14"/>
  <c r="D25" i="14" s="1"/>
  <c r="C10" i="14"/>
  <c r="C25" i="14" s="1"/>
  <c r="G9" i="14"/>
  <c r="G28" i="14" s="1"/>
  <c r="F9" i="14"/>
  <c r="F30" i="14" s="1"/>
  <c r="E9" i="14"/>
  <c r="E30" i="14" s="1"/>
  <c r="D9" i="14"/>
  <c r="D32" i="14" s="1"/>
  <c r="C9" i="14"/>
  <c r="C39" i="14" s="1"/>
  <c r="C27" i="10"/>
  <c r="D14" i="10"/>
  <c r="D15" i="10" s="1"/>
  <c r="E14" i="10"/>
  <c r="F14" i="10"/>
  <c r="G14" i="10"/>
  <c r="C14" i="10"/>
  <c r="C15" i="10" s="1"/>
  <c r="C11" i="10"/>
  <c r="D11" i="10"/>
  <c r="E11" i="10"/>
  <c r="F11" i="10"/>
  <c r="G11" i="10"/>
  <c r="E15" i="10"/>
  <c r="F15" i="10"/>
  <c r="G15" i="10"/>
  <c r="D22" i="10"/>
  <c r="E22" i="10"/>
  <c r="F22" i="10"/>
  <c r="G22" i="10"/>
  <c r="D23" i="10"/>
  <c r="E23" i="10"/>
  <c r="F23" i="10"/>
  <c r="G23" i="10"/>
  <c r="D24" i="10"/>
  <c r="E24" i="10"/>
  <c r="F24" i="10"/>
  <c r="G24" i="10"/>
  <c r="C22" i="10"/>
  <c r="C24" i="10"/>
  <c r="C23" i="10"/>
  <c r="C26" i="10"/>
  <c r="O7" i="10"/>
  <c r="O11" i="10" s="1"/>
  <c r="G32" i="14" l="1"/>
  <c r="F32" i="14"/>
  <c r="G25" i="14"/>
  <c r="G30" i="14"/>
  <c r="G34" i="14" s="1"/>
  <c r="F25" i="14"/>
  <c r="F39" i="14"/>
  <c r="F13" i="14"/>
  <c r="F14" i="14" s="1"/>
  <c r="F38" i="14" s="1"/>
  <c r="F41" i="14" s="1"/>
  <c r="G13" i="14"/>
  <c r="G14" i="14" s="1"/>
  <c r="G38" i="14" s="1"/>
  <c r="G41" i="14" s="1"/>
  <c r="E17" i="14"/>
  <c r="E18" i="14" s="1"/>
  <c r="E14" i="14"/>
  <c r="E38" i="14" s="1"/>
  <c r="E41" i="14" s="1"/>
  <c r="D35" i="14"/>
  <c r="E25" i="14"/>
  <c r="C28" i="14"/>
  <c r="C35" i="14" s="1"/>
  <c r="F35" i="14"/>
  <c r="G39" i="14"/>
  <c r="E28" i="14"/>
  <c r="C30" i="14"/>
  <c r="G35" i="14"/>
  <c r="C13" i="14"/>
  <c r="F28" i="14"/>
  <c r="F34" i="14" s="1"/>
  <c r="D30" i="14"/>
  <c r="D34" i="14" s="1"/>
  <c r="D13" i="14"/>
  <c r="C32" i="14"/>
  <c r="P11" i="10"/>
  <c r="G26" i="10"/>
  <c r="G27" i="10" s="1"/>
  <c r="F26" i="10"/>
  <c r="F27" i="10" s="1"/>
  <c r="E26" i="10"/>
  <c r="E27" i="10" s="1"/>
  <c r="D26" i="10"/>
  <c r="D27" i="10" s="1"/>
  <c r="G18" i="10"/>
  <c r="G19" i="10" s="1"/>
  <c r="E18" i="10"/>
  <c r="E19" i="10" s="1"/>
  <c r="F18" i="10"/>
  <c r="F19" i="10" s="1"/>
  <c r="D18" i="10"/>
  <c r="D19" i="10" s="1"/>
  <c r="C18" i="10"/>
  <c r="C19" i="10" s="1"/>
  <c r="P14" i="10"/>
  <c r="P26" i="10"/>
  <c r="F36" i="14" l="1"/>
  <c r="E34" i="14"/>
  <c r="F17" i="14"/>
  <c r="F18" i="14" s="1"/>
  <c r="G17" i="14"/>
  <c r="G18" i="14" s="1"/>
  <c r="G36" i="14"/>
  <c r="D36" i="14"/>
  <c r="D47" i="14" s="1"/>
  <c r="D48" i="14" s="1"/>
  <c r="F47" i="14"/>
  <c r="F48" i="14" s="1"/>
  <c r="F42" i="14"/>
  <c r="F44" i="14" s="1"/>
  <c r="G47" i="14"/>
  <c r="G48" i="14" s="1"/>
  <c r="G42" i="14"/>
  <c r="G44" i="14" s="1"/>
  <c r="E35" i="14"/>
  <c r="E36" i="14" s="1"/>
  <c r="C34" i="14"/>
  <c r="C36" i="14" s="1"/>
  <c r="D14" i="14"/>
  <c r="D17" i="14"/>
  <c r="D18" i="14" s="1"/>
  <c r="C17" i="14"/>
  <c r="C14" i="14"/>
  <c r="E47" i="14" l="1"/>
  <c r="E48" i="14" s="1"/>
  <c r="E42" i="14"/>
  <c r="E44" i="14" s="1"/>
  <c r="C18" i="14"/>
  <c r="C38" i="14"/>
  <c r="C41" i="14" s="1"/>
  <c r="C42" i="14" s="1"/>
  <c r="C44" i="14" s="1"/>
  <c r="K2" i="15" s="1"/>
  <c r="B7" i="15" s="1"/>
  <c r="B10" i="15" s="1"/>
  <c r="D38" i="14"/>
  <c r="D41" i="14" s="1"/>
  <c r="D42" i="14" s="1"/>
  <c r="D44" i="14" s="1"/>
  <c r="C47" i="14"/>
  <c r="C48" i="14" s="1"/>
  <c r="F18" i="8"/>
  <c r="E18" i="8"/>
  <c r="D18" i="8"/>
  <c r="C18" i="8"/>
  <c r="G18" i="8"/>
  <c r="G14" i="8"/>
  <c r="G15" i="8" s="1"/>
  <c r="F14" i="8"/>
  <c r="F15" i="8" s="1"/>
  <c r="E14" i="8"/>
  <c r="E15" i="8" s="1"/>
  <c r="D14" i="8"/>
  <c r="D15" i="8" s="1"/>
  <c r="C15" i="8"/>
  <c r="K7" i="7"/>
  <c r="K5" i="7"/>
  <c r="G5" i="7" s="1"/>
  <c r="K4" i="7"/>
  <c r="K3" i="7"/>
  <c r="C31" i="7"/>
  <c r="C30" i="7"/>
  <c r="C29" i="7"/>
  <c r="F8" i="7" s="1"/>
  <c r="C28" i="7"/>
  <c r="K8" i="7" s="1"/>
  <c r="G8" i="7" s="1"/>
  <c r="C27" i="7"/>
  <c r="C26" i="7"/>
  <c r="C25" i="7"/>
  <c r="F7" i="7" s="1"/>
  <c r="C24" i="7"/>
  <c r="C23" i="7"/>
  <c r="C22" i="7"/>
  <c r="C21" i="7"/>
  <c r="F6" i="7" s="1"/>
  <c r="C20" i="7"/>
  <c r="K6" i="7" s="1"/>
  <c r="C19" i="7"/>
  <c r="C18" i="7"/>
  <c r="C17" i="7"/>
  <c r="F5" i="7" s="1"/>
  <c r="C16" i="7"/>
  <c r="C15" i="7"/>
  <c r="C14" i="7"/>
  <c r="C13" i="7"/>
  <c r="C12" i="7"/>
  <c r="C11" i="7"/>
  <c r="C10" i="7"/>
  <c r="C9" i="7"/>
  <c r="F3" i="7" s="1"/>
  <c r="J8" i="7"/>
  <c r="C8" i="7"/>
  <c r="J7" i="7"/>
  <c r="G7" i="7" s="1"/>
  <c r="C7" i="7"/>
  <c r="J6" i="7"/>
  <c r="C6" i="7"/>
  <c r="J5" i="7"/>
  <c r="C5" i="7"/>
  <c r="F2" i="7" s="1"/>
  <c r="J4" i="7"/>
  <c r="F4" i="7"/>
  <c r="C4" i="7"/>
  <c r="K2" i="7" s="1"/>
  <c r="G2" i="7" s="1"/>
  <c r="J3" i="7"/>
  <c r="C3" i="7"/>
  <c r="J2" i="7"/>
  <c r="C2" i="7"/>
  <c r="J3" i="5"/>
  <c r="J4" i="5"/>
  <c r="J5" i="5"/>
  <c r="J6" i="5"/>
  <c r="J7" i="5"/>
  <c r="J8" i="5"/>
  <c r="J9" i="5"/>
  <c r="J2" i="5"/>
  <c r="G3" i="7" l="1"/>
  <c r="G14" i="7" s="1"/>
  <c r="G20" i="8"/>
  <c r="F20" i="8"/>
  <c r="E20" i="8"/>
  <c r="D20" i="8"/>
  <c r="G6" i="7"/>
  <c r="G4" i="7"/>
  <c r="C31" i="6" l="1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F13" i="6" s="1"/>
  <c r="G13" i="6" s="1"/>
  <c r="C12" i="6"/>
  <c r="F12" i="6" s="1"/>
  <c r="G12" i="6" s="1"/>
  <c r="C11" i="6"/>
  <c r="F11" i="6" s="1"/>
  <c r="G11" i="6" s="1"/>
  <c r="C10" i="6"/>
  <c r="F10" i="6" s="1"/>
  <c r="G10" i="6" s="1"/>
  <c r="C9" i="6"/>
  <c r="F9" i="6" s="1"/>
  <c r="G9" i="6" s="1"/>
  <c r="C8" i="6"/>
  <c r="F8" i="6" s="1"/>
  <c r="G8" i="6" s="1"/>
  <c r="C7" i="6"/>
  <c r="F7" i="6" s="1"/>
  <c r="G7" i="6" s="1"/>
  <c r="C6" i="6"/>
  <c r="F6" i="6" s="1"/>
  <c r="G6" i="6" s="1"/>
  <c r="C5" i="6"/>
  <c r="F5" i="6" s="1"/>
  <c r="G5" i="6" s="1"/>
  <c r="C4" i="6"/>
  <c r="F4" i="6" s="1"/>
  <c r="G4" i="6" s="1"/>
  <c r="C3" i="6"/>
  <c r="F3" i="6" s="1"/>
  <c r="G3" i="6" s="1"/>
  <c r="C2" i="6"/>
  <c r="F2" i="6" s="1"/>
  <c r="G2" i="6" s="1"/>
  <c r="C31" i="5"/>
  <c r="C30" i="5"/>
  <c r="C29" i="5"/>
  <c r="F8" i="5" s="1"/>
  <c r="C28" i="5"/>
  <c r="C27" i="5"/>
  <c r="C26" i="5"/>
  <c r="K8" i="5" s="1"/>
  <c r="G8" i="5" s="1"/>
  <c r="C25" i="5"/>
  <c r="F7" i="5" s="1"/>
  <c r="C24" i="5"/>
  <c r="C23" i="5"/>
  <c r="C22" i="5"/>
  <c r="K7" i="5" s="1"/>
  <c r="G7" i="5" s="1"/>
  <c r="C21" i="5"/>
  <c r="F6" i="5" s="1"/>
  <c r="C20" i="5"/>
  <c r="C19" i="5"/>
  <c r="C18" i="5"/>
  <c r="K6" i="5" s="1"/>
  <c r="G6" i="5" s="1"/>
  <c r="C17" i="5"/>
  <c r="F5" i="5" s="1"/>
  <c r="C16" i="5"/>
  <c r="C15" i="5"/>
  <c r="C14" i="5"/>
  <c r="K5" i="5" s="1"/>
  <c r="G5" i="5" s="1"/>
  <c r="C13" i="5"/>
  <c r="F4" i="5" s="1"/>
  <c r="C12" i="5"/>
  <c r="C11" i="5"/>
  <c r="C10" i="5"/>
  <c r="K4" i="5" s="1"/>
  <c r="G4" i="5" s="1"/>
  <c r="C9" i="5"/>
  <c r="F3" i="5" s="1"/>
  <c r="C8" i="5"/>
  <c r="C7" i="5"/>
  <c r="C6" i="5"/>
  <c r="K3" i="5" s="1"/>
  <c r="G3" i="5" s="1"/>
  <c r="C5" i="5"/>
  <c r="F2" i="5" s="1"/>
  <c r="C4" i="5"/>
  <c r="C3" i="5"/>
  <c r="C2" i="5"/>
  <c r="K2" i="5" s="1"/>
  <c r="G2" i="5" s="1"/>
  <c r="G3" i="4"/>
  <c r="G10" i="4"/>
  <c r="F6" i="4"/>
  <c r="G6" i="4" s="1"/>
  <c r="F9" i="4"/>
  <c r="G9" i="4" s="1"/>
  <c r="F10" i="4"/>
  <c r="F3" i="4"/>
  <c r="F2" i="4"/>
  <c r="G2" i="4" s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F13" i="4" s="1"/>
  <c r="G13" i="4" s="1"/>
  <c r="C12" i="4"/>
  <c r="F12" i="4" s="1"/>
  <c r="G12" i="4" s="1"/>
  <c r="C11" i="4"/>
  <c r="F11" i="4" s="1"/>
  <c r="G11" i="4" s="1"/>
  <c r="C10" i="4"/>
  <c r="C9" i="4"/>
  <c r="C8" i="4"/>
  <c r="F8" i="4" s="1"/>
  <c r="G8" i="4" s="1"/>
  <c r="C7" i="4"/>
  <c r="F7" i="4" s="1"/>
  <c r="G7" i="4" s="1"/>
  <c r="C6" i="4"/>
  <c r="C5" i="4"/>
  <c r="F5" i="4" s="1"/>
  <c r="G5" i="4" s="1"/>
  <c r="C4" i="4"/>
  <c r="F4" i="4" s="1"/>
  <c r="G4" i="4" s="1"/>
  <c r="C3" i="4"/>
  <c r="C2" i="4"/>
  <c r="G6" i="3"/>
  <c r="G2" i="3"/>
  <c r="F10" i="3"/>
  <c r="G10" i="3" s="1"/>
  <c r="F9" i="3"/>
  <c r="G9" i="3" s="1"/>
  <c r="F6" i="3"/>
  <c r="F5" i="3"/>
  <c r="G5" i="3" s="1"/>
  <c r="F4" i="3"/>
  <c r="G4" i="3" s="1"/>
  <c r="F2" i="3"/>
  <c r="C3" i="3"/>
  <c r="C4" i="3"/>
  <c r="C5" i="3"/>
  <c r="F3" i="3" s="1"/>
  <c r="G3" i="3" s="1"/>
  <c r="C6" i="3"/>
  <c r="C7" i="3"/>
  <c r="C8" i="3"/>
  <c r="C9" i="3"/>
  <c r="C10" i="3"/>
  <c r="C11" i="3"/>
  <c r="C12" i="3"/>
  <c r="C13" i="3"/>
  <c r="F7" i="3" s="1"/>
  <c r="G7" i="3" s="1"/>
  <c r="C14" i="3"/>
  <c r="C15" i="3"/>
  <c r="F8" i="3" s="1"/>
  <c r="G8" i="3" s="1"/>
  <c r="C16" i="3"/>
  <c r="C17" i="3"/>
  <c r="C18" i="3"/>
  <c r="C19" i="3"/>
  <c r="C20" i="3"/>
  <c r="C21" i="3"/>
  <c r="F11" i="3" s="1"/>
  <c r="G11" i="3" s="1"/>
  <c r="C22" i="3"/>
  <c r="C23" i="3"/>
  <c r="C24" i="3"/>
  <c r="C25" i="3"/>
  <c r="C26" i="3"/>
  <c r="C27" i="3"/>
  <c r="C28" i="3"/>
  <c r="C29" i="3"/>
  <c r="C30" i="3"/>
  <c r="C31" i="3"/>
  <c r="C2" i="3"/>
  <c r="G12" i="3" l="1"/>
  <c r="G14" i="4"/>
  <c r="K9" i="5"/>
  <c r="G9" i="5" s="1"/>
  <c r="F9" i="5"/>
  <c r="G14" i="6"/>
  <c r="G14" i="5"/>
  <c r="C3" i="2" l="1"/>
  <c r="B4" i="2" s="1"/>
  <c r="C3" i="1"/>
  <c r="C4" i="1" s="1"/>
  <c r="C5" i="1" s="1"/>
  <c r="C6" i="1" s="1"/>
  <c r="C7" i="1" s="1"/>
  <c r="C8" i="1" s="1"/>
  <c r="C9" i="1" s="1"/>
  <c r="C10" i="1" s="1"/>
  <c r="B4" i="1" l="1"/>
  <c r="B5" i="1" s="1"/>
  <c r="B6" i="1" s="1"/>
  <c r="B7" i="1" s="1"/>
  <c r="B8" i="1" s="1"/>
  <c r="B9" i="1" s="1"/>
  <c r="B10" i="1" s="1"/>
  <c r="C4" i="2"/>
  <c r="C5" i="2" s="1"/>
  <c r="C6" i="2" s="1"/>
  <c r="C7" i="2" s="1"/>
  <c r="C8" i="2" s="1"/>
  <c r="C9" i="2" s="1"/>
  <c r="C10" i="2" s="1"/>
  <c r="C12" i="2" s="1"/>
  <c r="B5" i="2" l="1"/>
  <c r="B6" i="2" s="1"/>
  <c r="B7" i="2" s="1"/>
  <c r="B8" i="2" s="1"/>
  <c r="B9" i="2" s="1"/>
  <c r="B10" i="2" s="1"/>
</calcChain>
</file>

<file path=xl/sharedStrings.xml><?xml version="1.0" encoding="utf-8"?>
<sst xmlns="http://schemas.openxmlformats.org/spreadsheetml/2006/main" count="151" uniqueCount="79">
  <si>
    <t>year</t>
  </si>
  <si>
    <t>coupon</t>
  </si>
  <si>
    <t>yield</t>
  </si>
  <si>
    <t>rate</t>
  </si>
  <si>
    <t>period</t>
  </si>
  <si>
    <t>payment</t>
  </si>
  <si>
    <t>pv</t>
  </si>
  <si>
    <t>Example  4: Canada bonds</t>
  </si>
  <si>
    <t>Terms of bond:</t>
  </si>
  <si>
    <t>Current date:</t>
  </si>
  <si>
    <t>Maturity date:</t>
  </si>
  <si>
    <t>Coupon rate:</t>
  </si>
  <si>
    <t># coupons per year:</t>
  </si>
  <si>
    <t>Par value:</t>
  </si>
  <si>
    <t>Bond price calculation:</t>
  </si>
  <si>
    <t>Quoted price:</t>
  </si>
  <si>
    <t>Accrued interest:</t>
  </si>
  <si>
    <t>Full price:</t>
  </si>
  <si>
    <t>Yield</t>
  </si>
  <si>
    <t>a</t>
  </si>
  <si>
    <t>Maturity (yrs):</t>
  </si>
  <si>
    <t>Yield:</t>
  </si>
  <si>
    <t>Macaulay's duration:</t>
  </si>
  <si>
    <t>in half-years</t>
  </si>
  <si>
    <t>in years</t>
  </si>
  <si>
    <t>Modified duration:</t>
  </si>
  <si>
    <t>Bond price</t>
  </si>
  <si>
    <t>weight</t>
  </si>
  <si>
    <t>Convexity:</t>
  </si>
  <si>
    <t>C/F</t>
  </si>
  <si>
    <t>n</t>
  </si>
  <si>
    <t>y</t>
  </si>
  <si>
    <t>Example 8: Using convexity</t>
  </si>
  <si>
    <t>New yield</t>
  </si>
  <si>
    <t>Change</t>
  </si>
  <si>
    <t>Accurate %Change</t>
  </si>
  <si>
    <t>Estimated %change using duration:</t>
  </si>
  <si>
    <t>Estimated %change using duration and convexity</t>
  </si>
  <si>
    <t>decision variables</t>
  </si>
  <si>
    <t>w2</t>
  </si>
  <si>
    <t>w3</t>
  </si>
  <si>
    <t>w4</t>
  </si>
  <si>
    <t>macaulay's duration</t>
  </si>
  <si>
    <t>convexity</t>
  </si>
  <si>
    <t>=</t>
  </si>
  <si>
    <t>objective</t>
  </si>
  <si>
    <t>constraint</t>
  </si>
  <si>
    <t>Convexity</t>
  </si>
  <si>
    <t>Convexity: (0)</t>
  </si>
  <si>
    <t>c</t>
  </si>
  <si>
    <t>c/y3</t>
  </si>
  <si>
    <t>(n+1)(n+2)</t>
  </si>
  <si>
    <t>(1+y)^n</t>
  </si>
  <si>
    <t>2n(n+2)</t>
  </si>
  <si>
    <t>(1+y)^(n+1)</t>
  </si>
  <si>
    <t>n(n+1)</t>
  </si>
  <si>
    <t>(1+y)^(n+2)</t>
  </si>
  <si>
    <t>nominator</t>
  </si>
  <si>
    <t>denominator</t>
  </si>
  <si>
    <t>conv</t>
  </si>
  <si>
    <t>macdur0</t>
  </si>
  <si>
    <t>(1+y)^2</t>
  </si>
  <si>
    <t>face value</t>
  </si>
  <si>
    <t>bond 2</t>
  </si>
  <si>
    <t>bond 3</t>
  </si>
  <si>
    <t>bond 4</t>
  </si>
  <si>
    <t>Bond</t>
  </si>
  <si>
    <t>maturity date</t>
  </si>
  <si>
    <t>full price</t>
  </si>
  <si>
    <t>new yield</t>
  </si>
  <si>
    <t>accurate full price</t>
  </si>
  <si>
    <t>accurate % change</t>
  </si>
  <si>
    <t>estimate % change</t>
  </si>
  <si>
    <t>accurate quoted price</t>
  </si>
  <si>
    <t>ai</t>
  </si>
  <si>
    <t>change</t>
  </si>
  <si>
    <t>estimate</t>
  </si>
  <si>
    <t>accurate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</si>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</sst>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00%"/>
    <numFmt numFmtId="168" formatCode="0.000000"/>
    <numFmt numFmtId="169" formatCode="0.000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1" fillId="0" borderId="0" xfId="1"/>
    <xf numFmtId="0" fontId="4" fillId="0" borderId="0" xfId="1" applyFont="1"/>
    <xf numFmtId="0" fontId="4" fillId="2" borderId="0" xfId="1" applyFont="1" applyFill="1"/>
    <xf numFmtId="0" fontId="1" fillId="2" borderId="0" xfId="1" applyFill="1"/>
    <xf numFmtId="2" fontId="1" fillId="0" borderId="0" xfId="1" applyNumberFormat="1"/>
    <xf numFmtId="164" fontId="1" fillId="0" borderId="0" xfId="1" applyNumberFormat="1"/>
    <xf numFmtId="165" fontId="1" fillId="0" borderId="0" xfId="1" applyNumberFormat="1"/>
    <xf numFmtId="166" fontId="1" fillId="2" borderId="0" xfId="1" applyNumberFormat="1" applyFill="1"/>
    <xf numFmtId="165" fontId="1" fillId="2" borderId="0" xfId="1" applyNumberFormat="1" applyFill="1"/>
    <xf numFmtId="167" fontId="1" fillId="2" borderId="0" xfId="1" applyNumberFormat="1" applyFill="1"/>
    <xf numFmtId="0" fontId="4" fillId="0" borderId="0" xfId="1" applyFont="1" applyAlignment="1">
      <alignment horizontal="right"/>
    </xf>
    <xf numFmtId="0" fontId="4" fillId="3" borderId="0" xfId="1" applyFont="1" applyFill="1" applyAlignment="1">
      <alignment horizontal="right"/>
    </xf>
    <xf numFmtId="0" fontId="1" fillId="3" borderId="0" xfId="1" applyFill="1"/>
    <xf numFmtId="2" fontId="1" fillId="3" borderId="0" xfId="1" applyNumberFormat="1" applyFill="1"/>
    <xf numFmtId="0" fontId="5" fillId="0" borderId="0" xfId="1" applyFont="1" applyAlignment="1">
      <alignment horizontal="right"/>
    </xf>
    <xf numFmtId="0" fontId="1" fillId="0" borderId="0" xfId="1" quotePrefix="1"/>
    <xf numFmtId="168" fontId="1" fillId="0" borderId="0" xfId="1" applyNumberFormat="1"/>
    <xf numFmtId="0" fontId="2" fillId="0" borderId="0" xfId="1" applyFont="1" applyFill="1"/>
    <xf numFmtId="0" fontId="1" fillId="0" borderId="0" xfId="1" applyFill="1"/>
    <xf numFmtId="0" fontId="1" fillId="0" borderId="0" xfId="1" applyFill="1" applyAlignment="1">
      <alignment vertical="center" wrapText="1"/>
    </xf>
    <xf numFmtId="0" fontId="3" fillId="0" borderId="0" xfId="1" applyFont="1" applyFill="1"/>
    <xf numFmtId="0" fontId="1" fillId="0" borderId="0" xfId="1" applyFill="1" applyAlignment="1">
      <alignment horizontal="left" vertical="center" wrapText="1"/>
    </xf>
    <xf numFmtId="14" fontId="1" fillId="0" borderId="0" xfId="1" applyNumberFormat="1" applyFill="1" applyAlignment="1">
      <alignment vertical="center" wrapText="1"/>
    </xf>
    <xf numFmtId="0" fontId="4" fillId="0" borderId="0" xfId="1" applyFont="1" applyFill="1"/>
    <xf numFmtId="14" fontId="1" fillId="0" borderId="0" xfId="1" applyNumberFormat="1" applyFill="1"/>
    <xf numFmtId="166" fontId="1" fillId="0" borderId="0" xfId="1" applyNumberFormat="1" applyFill="1"/>
    <xf numFmtId="2" fontId="1" fillId="0" borderId="0" xfId="1" applyNumberFormat="1" applyFill="1"/>
    <xf numFmtId="169" fontId="1" fillId="0" borderId="0" xfId="1" applyNumberFormat="1" applyFill="1"/>
    <xf numFmtId="165" fontId="1" fillId="0" borderId="0" xfId="1" applyNumberFormat="1" applyFill="1"/>
  </cellXfs>
  <cellStyles count="2">
    <cellStyle name="Normal" xfId="0" builtinId="0"/>
    <cellStyle name="Normal 2" xfId="1" xr:uid="{1979E312-FF37-D84E-9709-0807815B0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13</xdr:row>
      <xdr:rowOff>76200</xdr:rowOff>
    </xdr:from>
    <xdr:to>
      <xdr:col>18</xdr:col>
      <xdr:colOff>594360</xdr:colOff>
      <xdr:row>15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C4D81-16CE-E645-8811-90A5680FF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0" y="2057400"/>
          <a:ext cx="1407160" cy="375920"/>
        </a:xfrm>
        <a:prstGeom prst="rect">
          <a:avLst/>
        </a:prstGeom>
        <a:solidFill>
          <a:srgbClr val="FFFF00"/>
        </a:solidFill>
      </xdr:spPr>
    </xdr:pic>
    <xdr:clientData/>
  </xdr:twoCellAnchor>
  <xdr:twoCellAnchor>
    <xdr:from>
      <xdr:col>16</xdr:col>
      <xdr:colOff>260350</xdr:colOff>
      <xdr:row>26</xdr:row>
      <xdr:rowOff>44450</xdr:rowOff>
    </xdr:from>
    <xdr:to>
      <xdr:col>20</xdr:col>
      <xdr:colOff>214630</xdr:colOff>
      <xdr:row>28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72A8B-E3F5-4A48-B12C-EB5946FA6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4171950"/>
          <a:ext cx="2646680" cy="337820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FINE6850/6850_s05%20-%20duration%20and%20immunization%20(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  <sheetName val="Ex2"/>
      <sheetName val="Ex3"/>
      <sheetName val="Ex4"/>
      <sheetName val="Q5"/>
      <sheetName val="Ex5"/>
      <sheetName val="Ex6"/>
      <sheetName val="Ex7"/>
      <sheetName val="Ex8"/>
      <sheetName val="Ex9"/>
      <sheetName val="Ex10"/>
      <sheetName val="Extr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95C0-9F6E-CA43-86E0-DC2BBBAE0EB6}">
  <dimension ref="A1:C10"/>
  <sheetViews>
    <sheetView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0.05</v>
      </c>
    </row>
    <row r="3" spans="1:3" x14ac:dyDescent="0.2">
      <c r="A3">
        <v>0.25</v>
      </c>
      <c r="B3">
        <v>16.25</v>
      </c>
      <c r="C3">
        <f>C2+0.25%</f>
        <v>5.2500000000000005E-2</v>
      </c>
    </row>
    <row r="4" spans="1:3" x14ac:dyDescent="0.2">
      <c r="A4">
        <v>0.5</v>
      </c>
      <c r="B4">
        <f>B3*((1+C3/2)^0.5)+$B$3</f>
        <v>32.711899666350782</v>
      </c>
      <c r="C4">
        <f>C3+0.25%</f>
        <v>5.5000000000000007E-2</v>
      </c>
    </row>
    <row r="5" spans="1:3" x14ac:dyDescent="0.2">
      <c r="A5">
        <v>0.75</v>
      </c>
      <c r="B5">
        <f>B4*((1+C4/2)^0.5)+$B$3</f>
        <v>49.40863779206542</v>
      </c>
      <c r="C5">
        <f>C4+0.25%</f>
        <v>5.7500000000000009E-2</v>
      </c>
    </row>
    <row r="6" spans="1:3" x14ac:dyDescent="0.2">
      <c r="A6">
        <v>1</v>
      </c>
      <c r="B6">
        <f t="shared" ref="B6:B10" si="0">B5*((1+C5/2)^0.5)+$B$3</f>
        <v>66.363854134969074</v>
      </c>
      <c r="C6">
        <f>C5+0.25%</f>
        <v>6.0000000000000012E-2</v>
      </c>
    </row>
    <row r="7" spans="1:3" x14ac:dyDescent="0.2">
      <c r="A7">
        <v>1.25</v>
      </c>
      <c r="B7">
        <f t="shared" si="0"/>
        <v>83.601955945739803</v>
      </c>
      <c r="C7">
        <f t="shared" ref="C7:C10" si="1">C6+0.25%</f>
        <v>6.2500000000000014E-2</v>
      </c>
    </row>
    <row r="8" spans="1:3" x14ac:dyDescent="0.2">
      <c r="A8">
        <v>1.5</v>
      </c>
      <c r="B8">
        <f t="shared" si="0"/>
        <v>101.14818760073423</v>
      </c>
      <c r="C8">
        <f t="shared" si="1"/>
        <v>6.5000000000000016E-2</v>
      </c>
    </row>
    <row r="9" spans="1:3" x14ac:dyDescent="0.2">
      <c r="A9">
        <v>1.75</v>
      </c>
      <c r="B9">
        <f t="shared" si="0"/>
        <v>119.02870363162792</v>
      </c>
      <c r="C9">
        <f t="shared" si="1"/>
        <v>6.7500000000000018E-2</v>
      </c>
    </row>
    <row r="10" spans="1:3" x14ac:dyDescent="0.2">
      <c r="A10">
        <v>2</v>
      </c>
      <c r="B10" s="1">
        <f t="shared" si="0"/>
        <v>137.2706454616465</v>
      </c>
      <c r="C10">
        <f t="shared" si="1"/>
        <v>7.0000000000000021E-2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AA81-AB86-9C45-AD4D-2D3C647BC285}">
  <dimension ref="A1:L28"/>
  <sheetViews>
    <sheetView zoomScale="115" zoomScaleNormal="115" workbookViewId="0">
      <selection activeCell="D15" sqref="D15"/>
    </sheetView>
  </sheetViews>
  <sheetFormatPr baseColWidth="10" defaultColWidth="9.1640625" defaultRowHeight="13" x14ac:dyDescent="0.15"/>
  <cols>
    <col min="1" max="1" width="35.6640625" style="20" bestFit="1" customWidth="1"/>
    <col min="2" max="2" width="4.6640625" style="20" customWidth="1"/>
    <col min="3" max="7" width="10.6640625" style="20" customWidth="1"/>
    <col min="8" max="8" width="22.83203125" style="20" customWidth="1"/>
    <col min="9" max="16384" width="9.1640625" style="20"/>
  </cols>
  <sheetData>
    <row r="1" spans="1:12" ht="15" customHeight="1" x14ac:dyDescent="0.2">
      <c r="A1" s="19" t="s">
        <v>7</v>
      </c>
      <c r="H1" s="21"/>
      <c r="I1" s="21"/>
      <c r="J1" s="21"/>
      <c r="K1" s="21"/>
      <c r="L1" s="21"/>
    </row>
    <row r="2" spans="1:12" ht="15" customHeight="1" x14ac:dyDescent="0.15">
      <c r="H2" s="21"/>
      <c r="I2" s="21"/>
      <c r="J2" s="21"/>
      <c r="K2" s="21"/>
      <c r="L2" s="21"/>
    </row>
    <row r="3" spans="1:12" ht="15" customHeight="1" x14ac:dyDescent="0.2">
      <c r="A3" s="22" t="s">
        <v>8</v>
      </c>
      <c r="H3" s="23"/>
      <c r="I3" s="21"/>
      <c r="J3" s="21"/>
      <c r="K3" s="21"/>
      <c r="L3" s="21"/>
    </row>
    <row r="4" spans="1:12" ht="15" customHeight="1" x14ac:dyDescent="0.15">
      <c r="H4" s="23"/>
      <c r="I4" s="21"/>
      <c r="J4" s="24"/>
      <c r="K4" s="21"/>
      <c r="L4" s="21"/>
    </row>
    <row r="5" spans="1:12" ht="15" customHeight="1" x14ac:dyDescent="0.15">
      <c r="A5" s="25" t="s">
        <v>9</v>
      </c>
      <c r="C5" s="26">
        <v>44609</v>
      </c>
      <c r="D5" s="26">
        <v>44609</v>
      </c>
      <c r="E5" s="26">
        <v>44609</v>
      </c>
      <c r="F5" s="26">
        <v>44609</v>
      </c>
      <c r="G5" s="26">
        <v>44609</v>
      </c>
      <c r="H5" s="23"/>
      <c r="I5" s="21"/>
      <c r="J5" s="24"/>
      <c r="K5" s="21"/>
      <c r="L5" s="21"/>
    </row>
    <row r="6" spans="1:12" ht="15" customHeight="1" x14ac:dyDescent="0.15">
      <c r="A6" s="25" t="s">
        <v>10</v>
      </c>
      <c r="C6" s="26">
        <v>45689</v>
      </c>
      <c r="D6" s="26">
        <v>46447</v>
      </c>
      <c r="E6" s="26">
        <v>47635</v>
      </c>
      <c r="F6" s="26">
        <v>48731</v>
      </c>
      <c r="G6" s="26">
        <v>50192</v>
      </c>
      <c r="H6" s="23"/>
      <c r="I6" s="21"/>
      <c r="J6" s="24"/>
      <c r="K6" s="21"/>
      <c r="L6" s="21"/>
    </row>
    <row r="7" spans="1:12" ht="15" customHeight="1" x14ac:dyDescent="0.15">
      <c r="A7" s="25" t="s">
        <v>11</v>
      </c>
      <c r="C7" s="20">
        <v>3.2500000000000001E-2</v>
      </c>
      <c r="D7" s="20">
        <v>2.75E-2</v>
      </c>
      <c r="E7" s="20">
        <v>2.5000000000000001E-2</v>
      </c>
      <c r="F7" s="20">
        <v>3.2500000000000001E-2</v>
      </c>
      <c r="G7" s="20">
        <v>6.7500000000000004E-2</v>
      </c>
      <c r="H7" s="23"/>
      <c r="I7" s="21"/>
      <c r="J7" s="24"/>
      <c r="K7" s="21"/>
      <c r="L7" s="21"/>
    </row>
    <row r="8" spans="1:12" ht="15" customHeight="1" x14ac:dyDescent="0.15">
      <c r="A8" s="25" t="s">
        <v>12</v>
      </c>
      <c r="C8" s="20">
        <v>2</v>
      </c>
      <c r="D8" s="20">
        <v>2</v>
      </c>
      <c r="E8" s="20">
        <v>2</v>
      </c>
      <c r="F8" s="20">
        <v>2</v>
      </c>
      <c r="G8" s="20">
        <v>2</v>
      </c>
      <c r="H8" s="23"/>
      <c r="I8" s="21"/>
      <c r="J8" s="24"/>
      <c r="K8" s="21"/>
      <c r="L8" s="21"/>
    </row>
    <row r="9" spans="1:12" ht="15" customHeight="1" x14ac:dyDescent="0.15">
      <c r="A9" s="25" t="s">
        <v>13</v>
      </c>
      <c r="C9" s="20">
        <v>100</v>
      </c>
      <c r="D9" s="20">
        <v>100</v>
      </c>
      <c r="E9" s="20">
        <v>100</v>
      </c>
      <c r="F9" s="20">
        <v>100</v>
      </c>
      <c r="G9" s="20">
        <v>100</v>
      </c>
      <c r="H9" s="23"/>
      <c r="I9" s="21"/>
      <c r="J9" s="24"/>
      <c r="K9" s="21"/>
      <c r="L9" s="21"/>
    </row>
    <row r="10" spans="1:12" ht="15" customHeight="1" x14ac:dyDescent="0.15">
      <c r="H10" s="23"/>
      <c r="I10" s="21"/>
      <c r="J10" s="24"/>
      <c r="K10" s="21"/>
      <c r="L10" s="21"/>
    </row>
    <row r="11" spans="1:12" ht="15" customHeight="1" x14ac:dyDescent="0.2">
      <c r="A11" s="22" t="s">
        <v>14</v>
      </c>
      <c r="H11" s="23"/>
      <c r="I11" s="21"/>
      <c r="J11" s="24"/>
      <c r="K11" s="21"/>
      <c r="L11" s="21"/>
    </row>
    <row r="12" spans="1:12" ht="15" customHeight="1" x14ac:dyDescent="0.15">
      <c r="H12" s="23"/>
      <c r="I12" s="21"/>
      <c r="J12" s="24"/>
      <c r="K12" s="21"/>
      <c r="L12" s="21"/>
    </row>
    <row r="13" spans="1:12" ht="15" customHeight="1" x14ac:dyDescent="0.15">
      <c r="A13" s="4" t="s">
        <v>15</v>
      </c>
      <c r="B13" s="5"/>
      <c r="C13" s="9">
        <v>100.70099999999999</v>
      </c>
      <c r="D13" s="9">
        <v>96.566000000000003</v>
      </c>
      <c r="E13" s="9">
        <v>91.165000000000006</v>
      </c>
      <c r="F13" s="9">
        <v>93.238</v>
      </c>
      <c r="G13" s="9">
        <v>129.869</v>
      </c>
      <c r="H13" s="23"/>
      <c r="I13" s="21"/>
      <c r="J13" s="24"/>
      <c r="K13" s="21"/>
      <c r="L13" s="21"/>
    </row>
    <row r="14" spans="1:12" ht="15" customHeight="1" x14ac:dyDescent="0.15">
      <c r="A14" s="25" t="s">
        <v>16</v>
      </c>
      <c r="C14" s="27">
        <f>COUPDAYBS(C5,C6,C8,1)/COUPDAYS(C5,C6,C8,1)*C9*C7/C8</f>
        <v>0.143646408839779</v>
      </c>
      <c r="D14" s="27">
        <f>COUPDAYBS(D5,D6,D8,1)/COUPDAYS(D5,D6,D8,1)*D9*D7/D8</f>
        <v>1.2838397790055249</v>
      </c>
      <c r="E14" s="27">
        <f>COUPDAYBS(E5,E6,E8,1)/COUPDAYS(E5,E6,E8,1)*E9*E7/E8</f>
        <v>0.5357142857142857</v>
      </c>
      <c r="F14" s="27">
        <f>COUPDAYBS(F5,F6,F8,1)/COUPDAYS(F5,F6,F8,1)*F9*F7/F8</f>
        <v>0.6964285714285714</v>
      </c>
      <c r="G14" s="27">
        <f>COUPDAYBS(G5,G6,G8,1)/COUPDAYS(G5,G6,G8,1)*G9*G7/G8</f>
        <v>1.4464285714285714</v>
      </c>
      <c r="H14" s="23"/>
      <c r="I14" s="21"/>
      <c r="J14" s="24"/>
      <c r="K14" s="21"/>
      <c r="L14" s="21"/>
    </row>
    <row r="15" spans="1:12" ht="15" customHeight="1" x14ac:dyDescent="0.15">
      <c r="A15" s="4" t="s">
        <v>17</v>
      </c>
      <c r="B15" s="5"/>
      <c r="C15" s="9">
        <f>C14+C13</f>
        <v>100.84464640883978</v>
      </c>
      <c r="D15" s="9">
        <f>D14+D13</f>
        <v>97.849839779005521</v>
      </c>
      <c r="E15" s="9">
        <f>E14+E13</f>
        <v>91.700714285714298</v>
      </c>
      <c r="F15" s="9">
        <f>F14+F13</f>
        <v>93.934428571428569</v>
      </c>
      <c r="G15" s="9">
        <f>G14+G13</f>
        <v>131.31542857142858</v>
      </c>
      <c r="H15" s="23"/>
      <c r="I15" s="21"/>
      <c r="J15" s="24"/>
      <c r="K15" s="21"/>
      <c r="L15" s="21"/>
    </row>
    <row r="16" spans="1:12" ht="15" customHeight="1" x14ac:dyDescent="0.15">
      <c r="H16" s="23"/>
      <c r="I16" s="21"/>
      <c r="J16" s="24"/>
      <c r="K16" s="21"/>
      <c r="L16" s="21"/>
    </row>
    <row r="17" spans="1:12" ht="15" customHeight="1" x14ac:dyDescent="0.15">
      <c r="C17" s="28"/>
      <c r="D17" s="28"/>
      <c r="E17" s="28"/>
      <c r="F17" s="28"/>
      <c r="G17" s="28"/>
      <c r="H17" s="23"/>
      <c r="I17" s="21"/>
      <c r="J17" s="24"/>
      <c r="K17" s="21"/>
      <c r="L17" s="21"/>
    </row>
    <row r="18" spans="1:12" ht="15" customHeight="1" x14ac:dyDescent="0.15">
      <c r="A18" s="25" t="s">
        <v>18</v>
      </c>
      <c r="C18" s="29">
        <f>YIELD(C5,C6,C7,C13,100,C8,1)</f>
        <v>3.0000491182589226E-2</v>
      </c>
      <c r="D18" s="29">
        <f>YIELD(D5,D6,D7,D13,100,D8,1)</f>
        <v>3.4999090448898797E-2</v>
      </c>
      <c r="E18" s="29">
        <f>YIELD(E5,E6,E7,E13,100,E8,1)</f>
        <v>3.7499983904106721E-2</v>
      </c>
      <c r="F18" s="29">
        <f>YIELD(F5,F6,F7,F13,100,F8,1)</f>
        <v>3.9999799494849581E-2</v>
      </c>
      <c r="G18" s="29">
        <f>YIELD(G5,G6,G7,G13,100,G8,1)</f>
        <v>4.1000215476650982E-2</v>
      </c>
      <c r="H18" s="23"/>
      <c r="I18" s="21"/>
      <c r="J18" s="24"/>
      <c r="K18" s="21"/>
      <c r="L18" s="21"/>
    </row>
    <row r="19" spans="1:12" ht="15" customHeight="1" x14ac:dyDescent="0.15">
      <c r="A19" s="25"/>
      <c r="C19" s="30"/>
      <c r="D19" s="30"/>
      <c r="E19" s="30"/>
      <c r="F19" s="30"/>
      <c r="G19" s="30"/>
      <c r="H19" s="23"/>
      <c r="I19" s="21"/>
      <c r="J19" s="24"/>
      <c r="K19" s="21"/>
      <c r="L19" s="21"/>
    </row>
    <row r="20" spans="1:12" ht="15" customHeight="1" x14ac:dyDescent="0.15">
      <c r="A20" s="25" t="s">
        <v>19</v>
      </c>
      <c r="C20" s="20">
        <f>C14/(C7*C9/C8)</f>
        <v>8.8397790055248615E-2</v>
      </c>
      <c r="D20" s="20">
        <f t="shared" ref="D20:G20" si="0">D14/(D7*D9/D8)</f>
        <v>0.93370165745856359</v>
      </c>
      <c r="E20" s="20">
        <f t="shared" si="0"/>
        <v>0.42857142857142855</v>
      </c>
      <c r="F20" s="20">
        <f t="shared" si="0"/>
        <v>0.42857142857142855</v>
      </c>
      <c r="G20" s="20">
        <f t="shared" si="0"/>
        <v>0.42857142857142855</v>
      </c>
      <c r="H20" s="23"/>
      <c r="I20" s="21"/>
      <c r="J20" s="24"/>
      <c r="K20" s="21"/>
      <c r="L20" s="21"/>
    </row>
    <row r="21" spans="1:12" ht="15" customHeight="1" x14ac:dyDescent="0.15">
      <c r="H21" s="23"/>
      <c r="I21" s="21"/>
      <c r="J21" s="24"/>
      <c r="K21" s="21"/>
      <c r="L21" s="21"/>
    </row>
    <row r="22" spans="1:12" ht="15" customHeight="1" x14ac:dyDescent="0.15">
      <c r="H22" s="23"/>
      <c r="I22" s="21"/>
      <c r="J22" s="24"/>
      <c r="K22" s="21"/>
      <c r="L22" s="21"/>
    </row>
    <row r="23" spans="1:12" ht="15" customHeight="1" x14ac:dyDescent="0.15">
      <c r="H23" s="23"/>
      <c r="I23" s="21"/>
      <c r="J23" s="24"/>
      <c r="K23" s="21"/>
      <c r="L23" s="21"/>
    </row>
    <row r="24" spans="1:12" ht="15" customHeight="1" x14ac:dyDescent="0.15">
      <c r="H24" s="23"/>
      <c r="I24" s="21"/>
      <c r="J24" s="24"/>
      <c r="K24" s="21"/>
      <c r="L24" s="21"/>
    </row>
    <row r="25" spans="1:12" ht="15" customHeight="1" x14ac:dyDescent="0.15">
      <c r="H25" s="23"/>
      <c r="I25" s="21"/>
      <c r="J25" s="24"/>
      <c r="K25" s="21"/>
      <c r="L25" s="21"/>
    </row>
    <row r="26" spans="1:12" ht="15" customHeight="1" x14ac:dyDescent="0.15">
      <c r="H26" s="23"/>
      <c r="I26" s="21"/>
      <c r="J26" s="24"/>
      <c r="K26" s="21"/>
      <c r="L26" s="21"/>
    </row>
    <row r="27" spans="1:12" ht="15" customHeight="1" x14ac:dyDescent="0.15"/>
    <row r="28" spans="1:12" ht="15" customHeight="1" x14ac:dyDescent="0.15"/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EDC-6CD0-FF44-AB8C-F8AD4796AFBE}">
  <dimension ref="A1:M71"/>
  <sheetViews>
    <sheetView zoomScale="120" zoomScaleNormal="120" workbookViewId="0">
      <pane ySplit="7" topLeftCell="A30" activePane="bottomLeft" state="frozen"/>
      <selection activeCell="H16" sqref="H16"/>
      <selection pane="bottomLeft" activeCell="D49" sqref="D49"/>
    </sheetView>
  </sheetViews>
  <sheetFormatPr baseColWidth="10" defaultColWidth="8.83203125" defaultRowHeight="13" x14ac:dyDescent="0.15"/>
  <cols>
    <col min="1" max="1" width="19.5" style="2" bestFit="1" customWidth="1"/>
    <col min="2" max="2" width="9.6640625" style="2" customWidth="1"/>
    <col min="3" max="3" width="11.6640625" style="2" bestFit="1" customWidth="1"/>
    <col min="4" max="13" width="8.83203125" style="2"/>
    <col min="14" max="14" width="4.6640625" style="2" customWidth="1"/>
    <col min="15" max="16384" width="8.83203125" style="2"/>
  </cols>
  <sheetData>
    <row r="1" spans="1:13" x14ac:dyDescent="0.15">
      <c r="A1" s="3" t="s">
        <v>32</v>
      </c>
    </row>
    <row r="3" spans="1:13" x14ac:dyDescent="0.15">
      <c r="A3" s="3" t="s">
        <v>20</v>
      </c>
      <c r="C3" s="2">
        <v>6</v>
      </c>
      <c r="D3" s="2">
        <v>11</v>
      </c>
      <c r="E3" s="2">
        <v>17</v>
      </c>
      <c r="F3" s="2">
        <v>23</v>
      </c>
      <c r="G3" s="2">
        <v>31</v>
      </c>
    </row>
    <row r="4" spans="1:13" x14ac:dyDescent="0.15">
      <c r="A4" s="3" t="s">
        <v>11</v>
      </c>
      <c r="C4" s="2">
        <v>3.2500000000000001E-2</v>
      </c>
      <c r="D4" s="2">
        <v>2.75E-2</v>
      </c>
      <c r="E4" s="2">
        <v>2.5000000000000001E-2</v>
      </c>
      <c r="F4" s="2">
        <v>3.2500000000000001E-2</v>
      </c>
      <c r="G4" s="2">
        <v>6.7500000000000004E-2</v>
      </c>
    </row>
    <row r="5" spans="1:13" x14ac:dyDescent="0.15">
      <c r="A5" s="3" t="s">
        <v>12</v>
      </c>
      <c r="C5" s="2">
        <v>2</v>
      </c>
      <c r="D5" s="2">
        <v>2</v>
      </c>
      <c r="E5" s="2">
        <v>2</v>
      </c>
      <c r="F5" s="2">
        <v>2</v>
      </c>
      <c r="G5" s="2">
        <v>2</v>
      </c>
    </row>
    <row r="6" spans="1:13" x14ac:dyDescent="0.15">
      <c r="A6" s="3" t="s">
        <v>13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13" x14ac:dyDescent="0.15">
      <c r="A7" s="3" t="s">
        <v>21</v>
      </c>
      <c r="C7" s="2">
        <v>3.0000491182589226E-2</v>
      </c>
      <c r="D7" s="2">
        <v>3.4999090448898797E-2</v>
      </c>
      <c r="E7" s="2">
        <v>3.7499983904106721E-2</v>
      </c>
      <c r="F7" s="2">
        <v>3.9999799494849581E-2</v>
      </c>
      <c r="G7" s="2">
        <v>4.1000215476650982E-2</v>
      </c>
    </row>
    <row r="8" spans="1:13" x14ac:dyDescent="0.15">
      <c r="A8" s="3" t="s">
        <v>19</v>
      </c>
      <c r="C8" s="2">
        <v>8.8397790055248615E-2</v>
      </c>
      <c r="D8" s="2">
        <v>0.93370165745856359</v>
      </c>
      <c r="E8" s="2">
        <v>0.42857142857142855</v>
      </c>
      <c r="F8" s="2">
        <v>0.42857142857142855</v>
      </c>
      <c r="G8" s="2">
        <v>0.42857142857142855</v>
      </c>
    </row>
    <row r="9" spans="1:13" x14ac:dyDescent="0.15">
      <c r="A9" s="2" t="s">
        <v>31</v>
      </c>
      <c r="C9" s="2">
        <f>C7/2</f>
        <v>1.5000245591294613E-2</v>
      </c>
      <c r="D9" s="2">
        <f t="shared" ref="D9:G9" si="0">D7/2</f>
        <v>1.7499545224449398E-2</v>
      </c>
      <c r="E9" s="2">
        <f t="shared" si="0"/>
        <v>1.874999195205336E-2</v>
      </c>
      <c r="F9" s="2">
        <f t="shared" si="0"/>
        <v>1.999989974742479E-2</v>
      </c>
      <c r="G9" s="2">
        <f t="shared" si="0"/>
        <v>2.0500107738325491E-2</v>
      </c>
    </row>
    <row r="10" spans="1:13" x14ac:dyDescent="0.15">
      <c r="A10" s="2" t="s">
        <v>49</v>
      </c>
      <c r="C10" s="2">
        <f>C4/C5</f>
        <v>1.6250000000000001E-2</v>
      </c>
      <c r="D10" s="2">
        <f t="shared" ref="D10:G10" si="1">D4/D5</f>
        <v>1.375E-2</v>
      </c>
      <c r="E10" s="2">
        <f t="shared" si="1"/>
        <v>1.2500000000000001E-2</v>
      </c>
      <c r="F10" s="2">
        <f t="shared" si="1"/>
        <v>1.6250000000000001E-2</v>
      </c>
      <c r="G10" s="2">
        <f t="shared" si="1"/>
        <v>3.3750000000000002E-2</v>
      </c>
    </row>
    <row r="12" spans="1:13" x14ac:dyDescent="0.15">
      <c r="A12" s="3" t="s">
        <v>22</v>
      </c>
    </row>
    <row r="13" spans="1:13" x14ac:dyDescent="0.15">
      <c r="A13" s="12" t="s">
        <v>23</v>
      </c>
      <c r="C13" s="8">
        <f>((1+y)/y)-((1+y)+n*(x-y))/((x*((1+y)^n-1))+y)-a</f>
        <v>5.6777990922364747</v>
      </c>
      <c r="D13" s="8">
        <f>((1+D9)/D9)-((1+D9)+D3*(D10-D9))/((D10*((1+D9)^D3-1))+D9)-D8</f>
        <v>9.3328120607808103</v>
      </c>
      <c r="E13" s="8">
        <f t="shared" ref="E13:G13" si="2">((1+E9)/E9)-((1+E9)+E3*(E10-E9))/((E10*((1+E9)^E3-1))+E9)-E8</f>
        <v>14.895573511831097</v>
      </c>
      <c r="F13" s="8">
        <f t="shared" si="2"/>
        <v>18.783780164280543</v>
      </c>
      <c r="G13" s="8">
        <f t="shared" si="2"/>
        <v>20.761608260618473</v>
      </c>
      <c r="H13" s="8"/>
      <c r="I13" s="8"/>
      <c r="J13" s="8"/>
      <c r="K13" s="8"/>
      <c r="L13" s="8"/>
      <c r="M13" s="8"/>
    </row>
    <row r="14" spans="1:13" x14ac:dyDescent="0.15">
      <c r="A14" s="12" t="s">
        <v>24</v>
      </c>
      <c r="C14" s="10">
        <f>C13/2</f>
        <v>2.8388995461182374</v>
      </c>
      <c r="D14" s="10">
        <f t="shared" ref="D14:G14" si="3">D13/2</f>
        <v>4.6664060303904051</v>
      </c>
      <c r="E14" s="10">
        <f t="shared" si="3"/>
        <v>7.4477867559155486</v>
      </c>
      <c r="F14" s="10">
        <f t="shared" si="3"/>
        <v>9.3918900821402715</v>
      </c>
      <c r="G14" s="10">
        <f t="shared" si="3"/>
        <v>10.380804130309237</v>
      </c>
      <c r="H14" s="8"/>
      <c r="I14" s="8"/>
      <c r="J14" s="8"/>
      <c r="K14" s="8"/>
      <c r="L14" s="8"/>
      <c r="M14" s="8"/>
    </row>
    <row r="16" spans="1:13" x14ac:dyDescent="0.15">
      <c r="A16" s="3" t="s">
        <v>25</v>
      </c>
    </row>
    <row r="17" spans="1:13" x14ac:dyDescent="0.15">
      <c r="A17" s="12" t="s">
        <v>23</v>
      </c>
      <c r="C17" s="8">
        <f>C13/(1+y)</f>
        <v>5.593889377759548</v>
      </c>
      <c r="D17" s="8">
        <f>D13/(1+D9)</f>
        <v>9.1723009652275511</v>
      </c>
      <c r="E17" s="8">
        <f>E13/(1+E9)</f>
        <v>14.62142196761082</v>
      </c>
      <c r="F17" s="8">
        <f t="shared" ref="F17:G17" si="4">F13/(1+F9)</f>
        <v>18.415472559293224</v>
      </c>
      <c r="G17" s="8">
        <f t="shared" si="4"/>
        <v>20.344542938492388</v>
      </c>
      <c r="H17" s="8"/>
      <c r="I17" s="8"/>
      <c r="J17" s="8"/>
      <c r="K17" s="8"/>
      <c r="L17" s="8"/>
      <c r="M17" s="8"/>
    </row>
    <row r="18" spans="1:13" x14ac:dyDescent="0.15">
      <c r="A18" s="12" t="s">
        <v>24</v>
      </c>
      <c r="C18" s="10">
        <f>C17/2</f>
        <v>2.796944688879774</v>
      </c>
      <c r="D18" s="10">
        <f t="shared" ref="D18:G18" si="5">D17/2</f>
        <v>4.5861504826137756</v>
      </c>
      <c r="E18" s="10">
        <f t="shared" si="5"/>
        <v>7.3107109838054098</v>
      </c>
      <c r="F18" s="10">
        <f t="shared" si="5"/>
        <v>9.2077362796466122</v>
      </c>
      <c r="G18" s="10">
        <f t="shared" si="5"/>
        <v>10.172271469246194</v>
      </c>
      <c r="H18" s="8"/>
      <c r="I18" s="8"/>
      <c r="J18" s="8"/>
      <c r="K18" s="8"/>
      <c r="L18" s="8"/>
      <c r="M18" s="8"/>
    </row>
    <row r="20" spans="1:13" x14ac:dyDescent="0.15">
      <c r="A20" s="3" t="s">
        <v>48</v>
      </c>
    </row>
    <row r="21" spans="1:13" x14ac:dyDescent="0.15">
      <c r="A21" s="16" t="s">
        <v>29</v>
      </c>
      <c r="C21" s="6">
        <f>C4/C5</f>
        <v>1.6250000000000001E-2</v>
      </c>
      <c r="D21" s="6">
        <f>D4/D5</f>
        <v>1.375E-2</v>
      </c>
      <c r="E21" s="6">
        <f>E4/E5</f>
        <v>1.2500000000000001E-2</v>
      </c>
      <c r="F21" s="6">
        <f>F4/F5</f>
        <v>1.6250000000000001E-2</v>
      </c>
      <c r="G21" s="6">
        <f>G4/G5</f>
        <v>3.3750000000000002E-2</v>
      </c>
      <c r="H21" s="6"/>
      <c r="I21" s="6"/>
      <c r="J21" s="6"/>
      <c r="K21" s="6"/>
      <c r="L21" s="6"/>
      <c r="M21" s="6"/>
    </row>
    <row r="22" spans="1:13" x14ac:dyDescent="0.15">
      <c r="A22" s="16" t="s">
        <v>30</v>
      </c>
      <c r="C22" s="2">
        <f>C3*C5</f>
        <v>12</v>
      </c>
      <c r="D22" s="2">
        <f>D3*D5</f>
        <v>22</v>
      </c>
      <c r="E22" s="2">
        <f>E3*E5</f>
        <v>34</v>
      </c>
      <c r="F22" s="2">
        <f>F3*F5</f>
        <v>46</v>
      </c>
      <c r="G22" s="2">
        <f>G3*G5</f>
        <v>62</v>
      </c>
    </row>
    <row r="23" spans="1:13" x14ac:dyDescent="0.15">
      <c r="A23" s="16" t="s">
        <v>31</v>
      </c>
      <c r="C23" s="6">
        <f>C7/C5</f>
        <v>1.5000245591294613E-2</v>
      </c>
      <c r="D23" s="6">
        <f>D7/D5</f>
        <v>1.7499545224449398E-2</v>
      </c>
      <c r="E23" s="6">
        <f>E7/E5</f>
        <v>1.874999195205336E-2</v>
      </c>
      <c r="F23" s="6">
        <f>F7/F5</f>
        <v>1.999989974742479E-2</v>
      </c>
      <c r="G23" s="6">
        <f>G7/G5</f>
        <v>2.0500107738325491E-2</v>
      </c>
      <c r="H23" s="6"/>
      <c r="I23" s="6"/>
      <c r="J23" s="6"/>
      <c r="K23" s="6"/>
      <c r="L23" s="6"/>
      <c r="M23" s="6"/>
    </row>
    <row r="24" spans="1:13" x14ac:dyDescent="0.15">
      <c r="A24" s="1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15">
      <c r="A25" s="12" t="s">
        <v>50</v>
      </c>
      <c r="C25" s="6">
        <f>x/(y^3)</f>
        <v>4814.578327238024</v>
      </c>
      <c r="D25" s="6">
        <f>D10/(D9^3)</f>
        <v>2565.7976959362072</v>
      </c>
      <c r="E25" s="6">
        <f t="shared" ref="E25:G25" si="6">E10/(E9^3)</f>
        <v>1896.2987381050173</v>
      </c>
      <c r="F25" s="6">
        <f t="shared" si="6"/>
        <v>2031.2805460127404</v>
      </c>
      <c r="G25" s="6">
        <f t="shared" si="6"/>
        <v>3917.4669994197134</v>
      </c>
      <c r="H25" s="6"/>
      <c r="I25" s="6"/>
      <c r="J25" s="6"/>
      <c r="K25" s="6"/>
      <c r="L25" s="6"/>
      <c r="M25" s="6"/>
    </row>
    <row r="26" spans="1:13" x14ac:dyDescent="0.15">
      <c r="A26" s="12">
        <v>2</v>
      </c>
      <c r="C26" s="6">
        <v>2</v>
      </c>
      <c r="D26" s="6">
        <v>2</v>
      </c>
      <c r="E26" s="6">
        <v>2</v>
      </c>
      <c r="F26" s="6">
        <v>2</v>
      </c>
      <c r="G26" s="6">
        <v>2</v>
      </c>
      <c r="H26" s="6"/>
      <c r="I26" s="6"/>
      <c r="J26" s="6"/>
      <c r="K26" s="6"/>
      <c r="L26" s="6"/>
      <c r="M26" s="6"/>
    </row>
    <row r="27" spans="1:13" x14ac:dyDescent="0.15">
      <c r="A27" s="12" t="s">
        <v>51</v>
      </c>
      <c r="C27" s="6">
        <f>(n+1)*(n+2)</f>
        <v>56</v>
      </c>
      <c r="D27" s="6">
        <f>(D3+1)*(D3+2)</f>
        <v>156</v>
      </c>
      <c r="E27" s="6">
        <f t="shared" ref="E27:G27" si="7">(E3+1)*(E3+2)</f>
        <v>342</v>
      </c>
      <c r="F27" s="6">
        <f t="shared" si="7"/>
        <v>600</v>
      </c>
      <c r="G27" s="6">
        <f t="shared" si="7"/>
        <v>1056</v>
      </c>
      <c r="H27" s="6"/>
      <c r="I27" s="6"/>
      <c r="J27" s="6"/>
      <c r="K27" s="6"/>
      <c r="L27" s="6"/>
      <c r="M27" s="6"/>
    </row>
    <row r="28" spans="1:13" x14ac:dyDescent="0.15">
      <c r="A28" s="12" t="s">
        <v>52</v>
      </c>
      <c r="C28" s="6">
        <f>(1+y)^n</f>
        <v>1.0934448513730395</v>
      </c>
      <c r="D28" s="6">
        <f>(1+D9)^D3</f>
        <v>1.2102538187678029</v>
      </c>
      <c r="E28" s="6">
        <f t="shared" ref="E28:G28" si="8">(1+E9)^E3</f>
        <v>1.3713537908723334</v>
      </c>
      <c r="F28" s="6">
        <f t="shared" si="8"/>
        <v>1.5768956994610608</v>
      </c>
      <c r="G28" s="6">
        <f t="shared" si="8"/>
        <v>1.8758784832446576</v>
      </c>
      <c r="H28" s="6"/>
      <c r="I28" s="6"/>
      <c r="J28" s="6"/>
      <c r="K28" s="6"/>
      <c r="L28" s="6"/>
      <c r="M28" s="6"/>
    </row>
    <row r="29" spans="1:13" x14ac:dyDescent="0.15">
      <c r="A29" s="12" t="s">
        <v>53</v>
      </c>
      <c r="C29" s="6">
        <f>2*n*(n+2)</f>
        <v>96</v>
      </c>
      <c r="D29" s="6">
        <f>2*D3*(D3+2)</f>
        <v>286</v>
      </c>
      <c r="E29" s="6">
        <f>2*E3*(E3+2)</f>
        <v>646</v>
      </c>
      <c r="F29" s="6">
        <f t="shared" ref="F29:G29" si="9">2*F3*(F3+2)</f>
        <v>1150</v>
      </c>
      <c r="G29" s="6">
        <f t="shared" si="9"/>
        <v>2046</v>
      </c>
      <c r="H29" s="6"/>
      <c r="I29" s="6"/>
      <c r="J29" s="6"/>
      <c r="K29" s="6"/>
      <c r="L29" s="6"/>
      <c r="M29" s="6"/>
    </row>
    <row r="30" spans="1:13" x14ac:dyDescent="0.15">
      <c r="A30" s="12" t="s">
        <v>54</v>
      </c>
      <c r="C30" s="6">
        <f>(1+y)^(n+1)</f>
        <v>1.1098467926841717</v>
      </c>
      <c r="D30" s="6">
        <f>(1+D9)^(D3+1)</f>
        <v>1.2314327102023928</v>
      </c>
      <c r="E30" s="6">
        <f t="shared" ref="E30:G30" si="10">(1+E9)^(E3+1)</f>
        <v>1.3970666634146074</v>
      </c>
      <c r="F30" s="6">
        <f t="shared" si="10"/>
        <v>1.6084334553624275</v>
      </c>
      <c r="G30" s="6">
        <f t="shared" si="10"/>
        <v>1.9143341942551797</v>
      </c>
      <c r="H30" s="6"/>
      <c r="I30" s="6"/>
      <c r="J30" s="6"/>
      <c r="K30" s="6"/>
      <c r="L30" s="6"/>
      <c r="M30" s="6"/>
    </row>
    <row r="31" spans="1:13" x14ac:dyDescent="0.15">
      <c r="A31" s="12" t="s">
        <v>55</v>
      </c>
      <c r="C31" s="6">
        <f>n*(n+1)</f>
        <v>42</v>
      </c>
      <c r="D31" s="6">
        <f>D3*(D3+1)</f>
        <v>132</v>
      </c>
      <c r="E31" s="6">
        <f t="shared" ref="E31:G31" si="11">E3*(E3+1)</f>
        <v>306</v>
      </c>
      <c r="F31" s="6">
        <f t="shared" si="11"/>
        <v>552</v>
      </c>
      <c r="G31" s="6">
        <f t="shared" si="11"/>
        <v>992</v>
      </c>
      <c r="H31" s="6"/>
      <c r="I31" s="6"/>
      <c r="J31" s="6"/>
      <c r="K31" s="6"/>
      <c r="L31" s="6"/>
      <c r="M31" s="6"/>
    </row>
    <row r="32" spans="1:13" x14ac:dyDescent="0.15">
      <c r="A32" s="12" t="s">
        <v>56</v>
      </c>
      <c r="C32" s="6">
        <f>(1+y)^(n+2)</f>
        <v>1.1264947671431449</v>
      </c>
      <c r="D32" s="6">
        <f>(1+D9)^(D3+2)</f>
        <v>1.2529822226054457</v>
      </c>
      <c r="E32" s="6">
        <f t="shared" ref="E32:G32" si="12">(1+E9)^(E3+2)</f>
        <v>1.4232616521101134</v>
      </c>
      <c r="F32" s="6">
        <f t="shared" si="12"/>
        <v>1.6406019632200801</v>
      </c>
      <c r="G32" s="6">
        <f t="shared" si="12"/>
        <v>1.9535782514845714</v>
      </c>
      <c r="H32" s="6"/>
      <c r="I32" s="6"/>
      <c r="J32" s="6"/>
      <c r="K32" s="6"/>
      <c r="L32" s="6"/>
      <c r="M32" s="6"/>
    </row>
    <row r="33" spans="1:13" x14ac:dyDescent="0.15">
      <c r="A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15">
      <c r="A34" s="12" t="s">
        <v>57</v>
      </c>
      <c r="C34" s="6">
        <f>(C26-C27/C28+C29/C30)*C25+(1-C25)*(C31/C32)</f>
        <v>38.930085994070396</v>
      </c>
      <c r="D34" s="6">
        <f t="shared" ref="D34:G34" si="13">(D26-D27/D28+D29/D30)*D25+(1-D25)*(D31/D32)</f>
        <v>111.90915404964471</v>
      </c>
      <c r="E34" s="6">
        <f t="shared" si="13"/>
        <v>233.37149865867104</v>
      </c>
      <c r="F34" s="6">
        <f t="shared" si="13"/>
        <v>387.48692119016778</v>
      </c>
      <c r="G34" s="6">
        <f t="shared" si="13"/>
        <v>729.0900721680373</v>
      </c>
      <c r="H34" s="6"/>
      <c r="I34" s="6"/>
      <c r="J34" s="6"/>
      <c r="K34" s="6"/>
      <c r="L34" s="6"/>
      <c r="M34" s="6"/>
    </row>
    <row r="35" spans="1:13" x14ac:dyDescent="0.15">
      <c r="A35" s="12" t="s">
        <v>58</v>
      </c>
      <c r="C35" s="6">
        <f>((1/y)-1/(y*((1+y)^n)))*x+(1/C28)</f>
        <v>1.0071200788223167</v>
      </c>
      <c r="D35" s="6">
        <f>((1/D9)-1/(D9*((1+D9)^D3)))*D10+(1/D28)</f>
        <v>0.9627763235616994</v>
      </c>
      <c r="E35" s="6">
        <f t="shared" ref="E35:G35" si="14">((1/E9)-1/(E9*((1+E9)^E3)))*E10+(1/E28)</f>
        <v>0.9097355536414401</v>
      </c>
      <c r="F35" s="6">
        <f t="shared" si="14"/>
        <v>0.93140599336030294</v>
      </c>
      <c r="G35" s="6">
        <f t="shared" si="14"/>
        <v>1.3017834082988402</v>
      </c>
      <c r="H35" s="6"/>
      <c r="I35" s="6"/>
      <c r="J35" s="6"/>
      <c r="K35" s="6"/>
      <c r="L35" s="6"/>
      <c r="M35" s="6"/>
    </row>
    <row r="36" spans="1:13" x14ac:dyDescent="0.15">
      <c r="A36" s="12">
        <v>0</v>
      </c>
      <c r="C36" s="6">
        <f>C34/C35</f>
        <v>38.654860341572757</v>
      </c>
      <c r="D36" s="6">
        <f t="shared" ref="D36:G36" si="15">D34/D35</f>
        <v>116.23588086965771</v>
      </c>
      <c r="E36" s="6">
        <f t="shared" si="15"/>
        <v>256.52674310083216</v>
      </c>
      <c r="F36" s="6">
        <f t="shared" si="15"/>
        <v>416.02365021530761</v>
      </c>
      <c r="G36" s="6">
        <f t="shared" si="15"/>
        <v>560.07018335009059</v>
      </c>
      <c r="H36" s="6"/>
      <c r="I36" s="6"/>
      <c r="J36" s="6"/>
      <c r="K36" s="6"/>
      <c r="L36" s="6"/>
      <c r="M36" s="6"/>
    </row>
    <row r="37" spans="1:13" x14ac:dyDescent="0.15">
      <c r="A37" s="1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15">
      <c r="A38" s="12" t="s">
        <v>60</v>
      </c>
      <c r="C38" s="6">
        <f>C17+a</f>
        <v>5.6822871678147964</v>
      </c>
      <c r="D38" s="6">
        <f>D14+D8</f>
        <v>5.6001076878489684</v>
      </c>
      <c r="E38" s="6">
        <f t="shared" ref="E38:G38" si="16">E14+E8</f>
        <v>7.8763581844869774</v>
      </c>
      <c r="F38" s="6">
        <f t="shared" si="16"/>
        <v>9.8204615107117004</v>
      </c>
      <c r="G38" s="6">
        <f t="shared" si="16"/>
        <v>10.809375558880665</v>
      </c>
      <c r="H38" s="6"/>
      <c r="I38" s="6"/>
      <c r="J38" s="6"/>
      <c r="K38" s="6"/>
      <c r="L38" s="6"/>
      <c r="M38" s="6"/>
    </row>
    <row r="39" spans="1:13" x14ac:dyDescent="0.15">
      <c r="A39" s="12" t="s">
        <v>61</v>
      </c>
      <c r="C39" s="2">
        <f>(1+y)^2</f>
        <v>1.0302254985503883</v>
      </c>
      <c r="D39" s="2">
        <f>(1+D9)^2</f>
        <v>1.0353053245319612</v>
      </c>
      <c r="E39" s="2">
        <f t="shared" ref="E39:F39" si="17">(1+E9)^2</f>
        <v>1.0378515461023086</v>
      </c>
      <c r="F39" s="2">
        <f t="shared" si="17"/>
        <v>1.0403997954847568</v>
      </c>
      <c r="G39" s="2">
        <f>(1+G9)^2</f>
        <v>1.041420469893934</v>
      </c>
      <c r="H39" s="6"/>
      <c r="I39" s="6"/>
      <c r="J39" s="6"/>
      <c r="K39" s="6"/>
      <c r="L39" s="6"/>
      <c r="M39" s="6"/>
    </row>
    <row r="40" spans="1:13" x14ac:dyDescent="0.15">
      <c r="A40" s="1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15">
      <c r="A41" s="12"/>
      <c r="C41" s="6">
        <f>(a*(2*C38+1-a))/C39</f>
        <v>1.0533488818552783</v>
      </c>
      <c r="D41" s="6">
        <f>(D8*(2*D38+1-D8))/D39</f>
        <v>10.160831093238519</v>
      </c>
      <c r="E41" s="6">
        <f t="shared" ref="E41:G41" si="18">(E8*(2*E38+1-E8))/E39</f>
        <v>6.740908315441982</v>
      </c>
      <c r="F41" s="6">
        <f t="shared" si="18"/>
        <v>8.3260650708802206</v>
      </c>
      <c r="G41" s="6">
        <f t="shared" si="18"/>
        <v>9.1318322277853756</v>
      </c>
      <c r="H41" s="6"/>
      <c r="I41" s="6"/>
      <c r="J41" s="6"/>
      <c r="K41" s="6"/>
      <c r="L41" s="6"/>
      <c r="M41" s="6"/>
    </row>
    <row r="42" spans="1:13" x14ac:dyDescent="0.15">
      <c r="A42" s="12" t="s">
        <v>59</v>
      </c>
      <c r="C42" s="6">
        <f>C36-C41</f>
        <v>37.601511459717479</v>
      </c>
      <c r="D42" s="6">
        <f t="shared" ref="D42:G42" si="19">D36-D41</f>
        <v>106.07504977641919</v>
      </c>
      <c r="E42" s="6">
        <f t="shared" si="19"/>
        <v>249.78583478539019</v>
      </c>
      <c r="F42" s="6">
        <f t="shared" si="19"/>
        <v>407.69758514442736</v>
      </c>
      <c r="G42" s="6">
        <f t="shared" si="19"/>
        <v>550.93835112230522</v>
      </c>
      <c r="H42" s="6"/>
      <c r="I42" s="6"/>
      <c r="J42" s="6"/>
      <c r="K42" s="6"/>
      <c r="L42" s="6"/>
      <c r="M42" s="6"/>
    </row>
    <row r="43" spans="1:13" x14ac:dyDescent="0.15">
      <c r="A43" s="1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15">
      <c r="A44" s="12"/>
      <c r="C44" s="6">
        <f>C42/(C5^2)</f>
        <v>9.4003778649293697</v>
      </c>
      <c r="D44" s="6">
        <f>D42/(D5^2)</f>
        <v>26.518762444104798</v>
      </c>
      <c r="E44" s="6">
        <f t="shared" ref="E44:G44" si="20">E42/(E5^2)</f>
        <v>62.446458696347548</v>
      </c>
      <c r="F44" s="6">
        <f t="shared" si="20"/>
        <v>101.92439628610684</v>
      </c>
      <c r="G44" s="6">
        <f t="shared" si="20"/>
        <v>137.73458778057631</v>
      </c>
      <c r="H44" s="6"/>
      <c r="I44" s="6"/>
      <c r="J44" s="6"/>
      <c r="K44" s="6"/>
      <c r="L44" s="6"/>
      <c r="M44" s="6"/>
    </row>
    <row r="46" spans="1:13" x14ac:dyDescent="0.15">
      <c r="A46" s="2" t="s">
        <v>47</v>
      </c>
    </row>
    <row r="47" spans="1:13" x14ac:dyDescent="0.15">
      <c r="A47" s="12" t="s">
        <v>23</v>
      </c>
      <c r="C47" s="2">
        <f>C36-(C8*(2*(C13+C8)+1-C8)/((1+C7/2)^2))</f>
        <v>37.587111829084449</v>
      </c>
      <c r="D47" s="2">
        <f>D36-(D8*(2*(D13+D8)+1-D8)/((1+D7/2)^2))</f>
        <v>97.658149096574093</v>
      </c>
      <c r="E47" s="2">
        <f>E36-(E8*(2*(E13+E8)+1-E8)/((1+E7/2)^2))</f>
        <v>243.63484214744417</v>
      </c>
      <c r="F47" s="2">
        <f>F36-(F8*(2*(F13+F8)+1-F8)/((1+F7/2)^2))</f>
        <v>399.95999087161562</v>
      </c>
      <c r="G47" s="2">
        <f>G36-(G8*(2*(G13+G8)+1-G8)/((1+G7/2)^2))</f>
        <v>542.39441294467383</v>
      </c>
    </row>
    <row r="48" spans="1:13" x14ac:dyDescent="0.15">
      <c r="A48" s="12" t="s">
        <v>24</v>
      </c>
      <c r="C48" s="5">
        <f>C47/C5^2</f>
        <v>9.3967779572711123</v>
      </c>
      <c r="D48" s="5">
        <f>D47/D5^2</f>
        <v>24.414537274143523</v>
      </c>
      <c r="E48" s="5">
        <f>E47/E5^2</f>
        <v>60.908710536861044</v>
      </c>
      <c r="F48" s="5">
        <f>F47/F5^2</f>
        <v>99.989997717903904</v>
      </c>
      <c r="G48" s="5">
        <f>G47/G5^2</f>
        <v>135.59860323616846</v>
      </c>
    </row>
    <row r="51" spans="1:4" x14ac:dyDescent="0.15">
      <c r="C51" s="8"/>
    </row>
    <row r="52" spans="1:4" x14ac:dyDescent="0.15">
      <c r="C52" s="8"/>
    </row>
    <row r="53" spans="1:4" x14ac:dyDescent="0.15">
      <c r="C53" s="8"/>
    </row>
    <row r="54" spans="1:4" x14ac:dyDescent="0.15">
      <c r="A54" s="2" t="s">
        <v>38</v>
      </c>
    </row>
    <row r="55" spans="1:4" x14ac:dyDescent="0.15">
      <c r="A55" s="20" t="s">
        <v>39</v>
      </c>
      <c r="B55" s="20">
        <v>0.15663826361073935</v>
      </c>
    </row>
    <row r="56" spans="1:4" x14ac:dyDescent="0.15">
      <c r="A56" s="20" t="s">
        <v>40</v>
      </c>
      <c r="B56" s="20">
        <v>0.59240599510380298</v>
      </c>
    </row>
    <row r="57" spans="1:4" x14ac:dyDescent="0.15">
      <c r="A57" s="20" t="s">
        <v>41</v>
      </c>
      <c r="B57" s="20">
        <v>0.25095574128566689</v>
      </c>
    </row>
    <row r="59" spans="1:4" x14ac:dyDescent="0.15">
      <c r="A59" s="2" t="s">
        <v>45</v>
      </c>
    </row>
    <row r="60" spans="1:4" x14ac:dyDescent="0.15">
      <c r="A60" s="2" t="s">
        <v>27</v>
      </c>
      <c r="B60" s="2">
        <f>SUM(B55:B57)</f>
        <v>1.0000000000002092</v>
      </c>
      <c r="C60" s="17" t="s">
        <v>44</v>
      </c>
      <c r="D60" s="2">
        <v>1</v>
      </c>
    </row>
    <row r="61" spans="1:4" x14ac:dyDescent="0.15">
      <c r="C61" s="17"/>
    </row>
    <row r="62" spans="1:4" x14ac:dyDescent="0.15">
      <c r="A62" s="2" t="s">
        <v>46</v>
      </c>
      <c r="C62" s="17"/>
    </row>
    <row r="63" spans="1:4" x14ac:dyDescent="0.15">
      <c r="A63" s="2" t="s">
        <v>42</v>
      </c>
      <c r="B63" s="2">
        <f>D14*B55+E14*B56+F14*B57</f>
        <v>7.499999999999126</v>
      </c>
      <c r="D63" s="2">
        <v>7.5</v>
      </c>
    </row>
    <row r="64" spans="1:4" x14ac:dyDescent="0.15">
      <c r="A64" s="2" t="s">
        <v>43</v>
      </c>
      <c r="B64" s="2">
        <f>B55*D48+B56*E48+B57*F48</f>
        <v>65.000000000008882</v>
      </c>
      <c r="D64" s="2">
        <v>65</v>
      </c>
    </row>
    <row r="68" spans="1:2" x14ac:dyDescent="0.15">
      <c r="A68" s="5" t="s">
        <v>62</v>
      </c>
      <c r="B68" s="5"/>
    </row>
    <row r="69" spans="1:2" x14ac:dyDescent="0.15">
      <c r="A69" s="5" t="s">
        <v>63</v>
      </c>
      <c r="B69" s="5">
        <f>B55*200000/'Q5 (a)'!D15*100</f>
        <v>32016.04907366386</v>
      </c>
    </row>
    <row r="70" spans="1:2" x14ac:dyDescent="0.15">
      <c r="A70" s="5" t="s">
        <v>64</v>
      </c>
      <c r="B70" s="5">
        <f>B56*200000/'Q5 (a)'!E15*100</f>
        <v>129204.22697211022</v>
      </c>
    </row>
    <row r="71" spans="1:2" x14ac:dyDescent="0.15">
      <c r="A71" s="5" t="s">
        <v>65</v>
      </c>
      <c r="B71" s="5">
        <f>B57*200000/'Q5 (a)'!F15*100</f>
        <v>53432.111123098584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4F34-25D7-434B-8F98-9B6681590D60}">
  <dimension ref="A1:P27"/>
  <sheetViews>
    <sheetView zoomScale="120" zoomScaleNormal="120" workbookViewId="0">
      <pane ySplit="7" topLeftCell="A8" activePane="bottomLeft" state="frozen"/>
      <selection pane="bottomLeft" activeCell="K24" sqref="K24"/>
    </sheetView>
  </sheetViews>
  <sheetFormatPr baseColWidth="10" defaultColWidth="8.83203125" defaultRowHeight="13" x14ac:dyDescent="0.15"/>
  <cols>
    <col min="1" max="1" width="19.5" style="2" bestFit="1" customWidth="1"/>
    <col min="2" max="2" width="4.6640625" style="2" customWidth="1"/>
    <col min="3" max="13" width="8.83203125" style="2"/>
    <col min="14" max="14" width="4.6640625" style="2" customWidth="1"/>
    <col min="15" max="16384" width="8.83203125" style="2"/>
  </cols>
  <sheetData>
    <row r="1" spans="1:16" x14ac:dyDescent="0.15">
      <c r="A1" s="3" t="s">
        <v>32</v>
      </c>
    </row>
    <row r="3" spans="1:16" x14ac:dyDescent="0.15">
      <c r="A3" s="3" t="s">
        <v>20</v>
      </c>
      <c r="C3" s="2">
        <v>3</v>
      </c>
      <c r="D3" s="2">
        <v>6</v>
      </c>
      <c r="E3" s="2">
        <v>9</v>
      </c>
      <c r="F3" s="2">
        <v>12</v>
      </c>
      <c r="G3" s="2">
        <v>21</v>
      </c>
    </row>
    <row r="4" spans="1:16" x14ac:dyDescent="0.15">
      <c r="A4" s="3" t="s">
        <v>11</v>
      </c>
      <c r="C4" s="2">
        <v>3.2500000000000001E-2</v>
      </c>
      <c r="D4" s="2">
        <v>2.75E-2</v>
      </c>
      <c r="E4" s="2">
        <v>2.5000000000000001E-2</v>
      </c>
      <c r="F4" s="2">
        <v>3.2500000000000001E-2</v>
      </c>
      <c r="G4" s="2">
        <v>6.7500000000000004E-2</v>
      </c>
    </row>
    <row r="5" spans="1:16" x14ac:dyDescent="0.15">
      <c r="A5" s="3" t="s">
        <v>12</v>
      </c>
      <c r="C5" s="2">
        <v>2</v>
      </c>
      <c r="D5" s="2">
        <v>2</v>
      </c>
      <c r="E5" s="2">
        <v>2</v>
      </c>
      <c r="F5" s="2">
        <v>2</v>
      </c>
      <c r="G5" s="2">
        <v>2</v>
      </c>
    </row>
    <row r="6" spans="1:16" x14ac:dyDescent="0.15">
      <c r="A6" s="3" t="s">
        <v>13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O6" s="3" t="s">
        <v>33</v>
      </c>
      <c r="P6" s="3" t="s">
        <v>34</v>
      </c>
    </row>
    <row r="7" spans="1:16" x14ac:dyDescent="0.15">
      <c r="A7" s="3" t="s">
        <v>21</v>
      </c>
      <c r="C7" s="2">
        <v>1.9990000000000001E-2</v>
      </c>
      <c r="D7" s="2">
        <v>3.4999090448898797E-2</v>
      </c>
      <c r="E7" s="2">
        <v>3.7499983904106721E-2</v>
      </c>
      <c r="F7" s="2">
        <v>3.9999799494849581E-2</v>
      </c>
      <c r="G7" s="2">
        <v>4.1000215476650982E-2</v>
      </c>
      <c r="O7" s="2">
        <f>C7+P7</f>
        <v>2.9990000000000003E-2</v>
      </c>
      <c r="P7" s="2">
        <v>0.01</v>
      </c>
    </row>
    <row r="8" spans="1:16" x14ac:dyDescent="0.15">
      <c r="A8" s="3" t="s">
        <v>19</v>
      </c>
      <c r="C8" s="2">
        <v>8.8397790055248615E-2</v>
      </c>
      <c r="D8" s="2">
        <v>0.93370165745856359</v>
      </c>
      <c r="E8" s="2">
        <v>0.42857142857142855</v>
      </c>
      <c r="F8" s="2">
        <v>0.42857142857142855</v>
      </c>
      <c r="G8" s="2">
        <v>0.42857142857142855</v>
      </c>
    </row>
    <row r="10" spans="1:16" x14ac:dyDescent="0.15">
      <c r="P10" s="3" t="s">
        <v>35</v>
      </c>
    </row>
    <row r="11" spans="1:16" x14ac:dyDescent="0.15">
      <c r="A11" s="13" t="s">
        <v>26</v>
      </c>
      <c r="B11" s="14"/>
      <c r="C11" s="15">
        <f>-PV(C7/$C$5,$C$3*$C$5,$C$6*$C$4/$C$5,$C$6)</f>
        <v>103.625132825506</v>
      </c>
      <c r="D11" s="15">
        <f t="shared" ref="D11:G11" si="0">-PV(D7/$C$5,$C$3*$C$5,$C$6*$C$4/$C$5,$C$6)</f>
        <v>99.294131112165132</v>
      </c>
      <c r="E11" s="15">
        <f t="shared" si="0"/>
        <v>98.59372022815505</v>
      </c>
      <c r="F11" s="15">
        <f t="shared" si="0"/>
        <v>97.899518861125699</v>
      </c>
      <c r="G11" s="15">
        <f t="shared" si="0"/>
        <v>97.623344277886773</v>
      </c>
      <c r="H11" s="15"/>
      <c r="I11" s="15"/>
      <c r="J11" s="15"/>
      <c r="K11" s="15"/>
      <c r="L11" s="15"/>
      <c r="M11" s="15"/>
      <c r="O11" s="6">
        <f>-PV(O7/$C$5,$C$3*$C$5,$C$6*$C$4/$C$5,$C$6)</f>
        <v>100.71500916403137</v>
      </c>
      <c r="P11" s="11">
        <f>O11/C11-1</f>
        <v>-2.8083183896854158E-2</v>
      </c>
    </row>
    <row r="13" spans="1:16" x14ac:dyDescent="0.15">
      <c r="A13" s="3" t="s">
        <v>22</v>
      </c>
      <c r="P13" s="3" t="s">
        <v>36</v>
      </c>
    </row>
    <row r="14" spans="1:16" x14ac:dyDescent="0.15">
      <c r="A14" s="12" t="s">
        <v>23</v>
      </c>
      <c r="C14" s="8">
        <f>(1+C$7/C$5)/(C$7/C$5)-(1+C$7/C$5+C$3*C$5*(C$4/C$5-C$7/C$5))/(C$4/C$5*((1+C$7/C$5)^(C$3*C$5)-1)+C$7/C$5)-C8</f>
        <v>5.6817574197536711</v>
      </c>
      <c r="D14" s="8">
        <f t="shared" ref="D14:G14" si="1">(1+D$7/D$5)/(D$7/D$5)-(1+D$7/D$5+D$3*D$5*(D$4/D$5-D$7/D$5))/(D$4/D$5*((1+D$7/D$5)^(D$3*D$5)-1)+D$7/D$5)-D8</f>
        <v>10.188254192529065</v>
      </c>
      <c r="E14" s="8">
        <f t="shared" si="1"/>
        <v>15.687869730515475</v>
      </c>
      <c r="F14" s="8">
        <f t="shared" si="1"/>
        <v>19.454334969430032</v>
      </c>
      <c r="G14" s="8">
        <f t="shared" si="1"/>
        <v>25.419660438772254</v>
      </c>
      <c r="H14" s="8"/>
      <c r="I14" s="8"/>
      <c r="J14" s="8"/>
      <c r="K14" s="8"/>
      <c r="L14" s="8"/>
      <c r="M14" s="8"/>
      <c r="P14" s="11">
        <f>-C$14/(1+C$7/C$5)*(P$7/C$5)</f>
        <v>-2.8127651224776715E-2</v>
      </c>
    </row>
    <row r="15" spans="1:16" x14ac:dyDescent="0.15">
      <c r="A15" s="12" t="s">
        <v>24</v>
      </c>
      <c r="C15" s="10">
        <f>C14/C$5</f>
        <v>2.8408787098768356</v>
      </c>
      <c r="D15" s="10">
        <f t="shared" ref="D15:G15" si="2">D14/D$5</f>
        <v>5.0941270962645326</v>
      </c>
      <c r="E15" s="10">
        <f t="shared" si="2"/>
        <v>7.8439348652577374</v>
      </c>
      <c r="F15" s="10">
        <f t="shared" si="2"/>
        <v>9.7271674847150162</v>
      </c>
      <c r="G15" s="10">
        <f t="shared" si="2"/>
        <v>12.709830219386127</v>
      </c>
      <c r="H15" s="8"/>
      <c r="I15" s="8"/>
      <c r="J15" s="8"/>
      <c r="K15" s="8"/>
      <c r="L15" s="8"/>
      <c r="M15" s="8"/>
    </row>
    <row r="17" spans="1:16" x14ac:dyDescent="0.15">
      <c r="A17" s="3" t="s">
        <v>25</v>
      </c>
    </row>
    <row r="18" spans="1:16" x14ac:dyDescent="0.15">
      <c r="A18" s="12" t="s">
        <v>23</v>
      </c>
      <c r="C18" s="8">
        <f>C14/(1+C$7/C$5)</f>
        <v>5.6255302449553426</v>
      </c>
      <c r="D18" s="8">
        <f t="shared" ref="D18:G18" si="3">D14/(1+D$7/D$5)</f>
        <v>10.013030708806506</v>
      </c>
      <c r="E18" s="8">
        <f t="shared" si="3"/>
        <v>15.399136053444812</v>
      </c>
      <c r="F18" s="8">
        <f t="shared" si="3"/>
        <v>19.07287929562284</v>
      </c>
      <c r="G18" s="8">
        <f t="shared" si="3"/>
        <v>24.909022787962613</v>
      </c>
      <c r="H18" s="8"/>
      <c r="I18" s="8"/>
      <c r="J18" s="8"/>
      <c r="K18" s="8"/>
      <c r="L18" s="8"/>
      <c r="M18" s="8"/>
    </row>
    <row r="19" spans="1:16" x14ac:dyDescent="0.15">
      <c r="A19" s="12" t="s">
        <v>24</v>
      </c>
      <c r="C19" s="10">
        <f>C18/C$5</f>
        <v>2.8127651224776713</v>
      </c>
      <c r="D19" s="10">
        <f t="shared" ref="D19:G19" si="4">D18/D$5</f>
        <v>5.0065153544032528</v>
      </c>
      <c r="E19" s="10">
        <f t="shared" si="4"/>
        <v>7.6995680267224058</v>
      </c>
      <c r="F19" s="10">
        <f t="shared" si="4"/>
        <v>9.5364396478114202</v>
      </c>
      <c r="G19" s="10">
        <f t="shared" si="4"/>
        <v>12.454511393981306</v>
      </c>
      <c r="H19" s="8"/>
      <c r="I19" s="8"/>
      <c r="J19" s="8"/>
      <c r="K19" s="8"/>
      <c r="L19" s="8"/>
      <c r="M19" s="8"/>
    </row>
    <row r="21" spans="1:16" x14ac:dyDescent="0.15">
      <c r="A21" s="3" t="s">
        <v>28</v>
      </c>
    </row>
    <row r="22" spans="1:16" x14ac:dyDescent="0.15">
      <c r="A22" s="16" t="s">
        <v>29</v>
      </c>
      <c r="C22" s="6">
        <f>C4/C5</f>
        <v>1.6250000000000001E-2</v>
      </c>
      <c r="D22" s="6">
        <f t="shared" ref="D22:G22" si="5">D4/D5</f>
        <v>1.375E-2</v>
      </c>
      <c r="E22" s="6">
        <f t="shared" si="5"/>
        <v>1.2500000000000001E-2</v>
      </c>
      <c r="F22" s="6">
        <f t="shared" si="5"/>
        <v>1.6250000000000001E-2</v>
      </c>
      <c r="G22" s="6">
        <f t="shared" si="5"/>
        <v>3.3750000000000002E-2</v>
      </c>
      <c r="H22" s="6"/>
      <c r="I22" s="6"/>
      <c r="J22" s="6"/>
      <c r="K22" s="6"/>
      <c r="L22" s="6"/>
      <c r="M22" s="6"/>
    </row>
    <row r="23" spans="1:16" x14ac:dyDescent="0.15">
      <c r="A23" s="16" t="s">
        <v>30</v>
      </c>
      <c r="C23" s="2">
        <f>C3*C5</f>
        <v>6</v>
      </c>
      <c r="D23" s="2">
        <f t="shared" ref="D23:G23" si="6">D3*D5</f>
        <v>12</v>
      </c>
      <c r="E23" s="2">
        <f t="shared" si="6"/>
        <v>18</v>
      </c>
      <c r="F23" s="2">
        <f t="shared" si="6"/>
        <v>24</v>
      </c>
      <c r="G23" s="2">
        <f t="shared" si="6"/>
        <v>42</v>
      </c>
    </row>
    <row r="24" spans="1:16" x14ac:dyDescent="0.15">
      <c r="A24" s="16" t="s">
        <v>31</v>
      </c>
      <c r="C24" s="6">
        <f>C7/C5</f>
        <v>9.9950000000000004E-3</v>
      </c>
      <c r="D24" s="6">
        <f t="shared" ref="D24:G24" si="7">D7/D5</f>
        <v>1.7499545224449398E-2</v>
      </c>
      <c r="E24" s="6">
        <f t="shared" si="7"/>
        <v>1.874999195205336E-2</v>
      </c>
      <c r="F24" s="6">
        <f t="shared" si="7"/>
        <v>1.999989974742479E-2</v>
      </c>
      <c r="G24" s="6">
        <f t="shared" si="7"/>
        <v>2.0500107738325491E-2</v>
      </c>
      <c r="H24" s="6"/>
      <c r="I24" s="6"/>
      <c r="J24" s="6"/>
      <c r="K24" s="6"/>
      <c r="L24" s="6"/>
      <c r="M24" s="6"/>
    </row>
    <row r="25" spans="1:16" x14ac:dyDescent="0.15">
      <c r="A25" s="1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P25" s="3" t="s">
        <v>37</v>
      </c>
    </row>
    <row r="26" spans="1:16" x14ac:dyDescent="0.15">
      <c r="A26" s="12" t="s">
        <v>23</v>
      </c>
      <c r="C26" s="8">
        <f>(C22/C24^3*(2-(C23+1)*(C23+2)/(1+C24)^C23+2*C23*(C23+2)/(1+C24)^(C23+1))+C23*(C23+1)/(1+C24)^(C23+2)*(1-C22/C24^3))/(C22*(1/C24-1/(C24*(1+C24)^C23))+1/(1+C24)^C23)</f>
        <v>39.073345162273249</v>
      </c>
      <c r="D26" s="8">
        <f t="shared" ref="D26:G26" si="8">(D22/D24^3*(2-(D23+1)*(D23+2)/(1+D24)^D23+2*D23*(D23+2)/(1+D24)^(D23+1))+D23*(D23+1)/(1+D24)^(D23+2)*(1-D22/D24^3))/(D22*(1/D24-1/(D24*(1+D24)^D23))+1/(1+D24)^D23)</f>
        <v>136.08458299041126</v>
      </c>
      <c r="E26" s="8">
        <f t="shared" si="8"/>
        <v>284.10708918490349</v>
      </c>
      <c r="F26" s="8">
        <f t="shared" si="8"/>
        <v>447.11151977983013</v>
      </c>
      <c r="G26" s="8">
        <f t="shared" si="8"/>
        <v>873.25663099028623</v>
      </c>
      <c r="H26" s="8"/>
      <c r="I26" s="8"/>
      <c r="J26" s="8"/>
      <c r="K26" s="8"/>
      <c r="L26" s="8"/>
      <c r="M26" s="8"/>
      <c r="P26" s="11">
        <f>-C$14/(1+C$7/C$5)*(P$7/C$5)+0.5*C26*(P$7/C$5)^2</f>
        <v>-2.7639234410248299E-2</v>
      </c>
    </row>
    <row r="27" spans="1:16" x14ac:dyDescent="0.15">
      <c r="A27" s="12" t="s">
        <v>24</v>
      </c>
      <c r="C27" s="10">
        <f>C26/C5^2</f>
        <v>9.7683362905683122</v>
      </c>
      <c r="D27" s="10">
        <f t="shared" ref="D27:G27" si="9">D26/D5^2</f>
        <v>34.021145747602816</v>
      </c>
      <c r="E27" s="10">
        <f t="shared" si="9"/>
        <v>71.026772296225872</v>
      </c>
      <c r="F27" s="10">
        <f t="shared" si="9"/>
        <v>111.77787994495753</v>
      </c>
      <c r="G27" s="10">
        <f t="shared" si="9"/>
        <v>218.31415774757156</v>
      </c>
      <c r="H27" s="8"/>
      <c r="I27" s="8"/>
      <c r="J27" s="8"/>
      <c r="K27" s="8"/>
      <c r="L27" s="8"/>
      <c r="M27" s="8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A1C5-DD92-9E4E-B312-C13BADFAE3B4}">
  <dimension ref="A1:O10"/>
  <sheetViews>
    <sheetView tabSelected="1" zoomScale="120" zoomScaleNormal="120" workbookViewId="0">
      <pane ySplit="1" topLeftCell="A2" activePane="bottomLeft" state="frozen"/>
      <selection activeCell="H16" sqref="H16"/>
      <selection pane="bottomLeft" activeCell="D14" sqref="D14"/>
    </sheetView>
  </sheetViews>
  <sheetFormatPr baseColWidth="10" defaultColWidth="8.83203125" defaultRowHeight="13" x14ac:dyDescent="0.15"/>
  <cols>
    <col min="1" max="1" width="19.5" style="2" bestFit="1" customWidth="1"/>
    <col min="2" max="2" width="12.83203125" style="2" customWidth="1"/>
    <col min="3" max="3" width="12.33203125" style="2" customWidth="1"/>
    <col min="4" max="4" width="8.6640625" style="2" customWidth="1"/>
    <col min="5" max="6" width="8.83203125" style="2"/>
    <col min="7" max="7" width="18.1640625" style="2" customWidth="1"/>
    <col min="8" max="9" width="15.33203125" style="2" customWidth="1"/>
    <col min="10" max="10" width="18" style="2" customWidth="1"/>
    <col min="11" max="16384" width="8.83203125" style="2"/>
  </cols>
  <sheetData>
    <row r="1" spans="1:15" x14ac:dyDescent="0.15">
      <c r="A1" s="2" t="s">
        <v>66</v>
      </c>
      <c r="B1" s="2" t="s">
        <v>1</v>
      </c>
      <c r="C1" s="2" t="s">
        <v>67</v>
      </c>
      <c r="D1" s="2" t="s">
        <v>68</v>
      </c>
      <c r="E1" s="2" t="s">
        <v>2</v>
      </c>
      <c r="F1" s="2" t="s">
        <v>69</v>
      </c>
      <c r="G1" s="2" t="s">
        <v>73</v>
      </c>
      <c r="H1" s="2" t="s">
        <v>74</v>
      </c>
      <c r="I1" s="2" t="s">
        <v>70</v>
      </c>
      <c r="J1" s="2" t="s">
        <v>71</v>
      </c>
      <c r="K1" s="2" t="s">
        <v>72</v>
      </c>
      <c r="N1" s="2" t="s">
        <v>75</v>
      </c>
      <c r="O1" s="2">
        <f>0.25%</f>
        <v>2.5000000000000001E-3</v>
      </c>
    </row>
    <row r="2" spans="1:15" x14ac:dyDescent="0.15">
      <c r="A2" s="2">
        <v>2</v>
      </c>
      <c r="B2" s="20">
        <f>0.0275</f>
        <v>2.75E-2</v>
      </c>
      <c r="C2" s="26">
        <v>46447</v>
      </c>
      <c r="D2" s="2">
        <v>97.849839779005521</v>
      </c>
      <c r="E2" s="2">
        <v>3.4999090448898797E-2</v>
      </c>
      <c r="F2" s="2">
        <f>E2+0.25%</f>
        <v>3.7499090448898799E-2</v>
      </c>
      <c r="G2" s="2">
        <f>PRICE('Q5 (a)'!D5,'Q5 (a)'!D6,'Q5 (a)'!D7,'Q5 (d)'!F2,100,2,1)</f>
        <v>95.451543917809261</v>
      </c>
      <c r="H2" s="2">
        <f>COUPDAYBS('Q5 (a)'!D5,'Q5 (a)'!D6,2,1)/COUPDAYS('Q5 (a)'!D5,'Q5 (a)'!D6,2,1)*100*B2/2</f>
        <v>1.2838397790055249</v>
      </c>
      <c r="I2" s="2">
        <f>G2+H2</f>
        <v>96.735383696814779</v>
      </c>
      <c r="J2" s="2">
        <f>I2/D2-1</f>
        <v>-1.1389452294533586E-2</v>
      </c>
      <c r="K2" s="2">
        <f>-'Q5 (b,c)'!D18*'Q5 (d)'!O1+0.5*'Q5 (b,c)'!C44*'Q5 (d)'!O1^2</f>
        <v>-1.1436000025706536E-2</v>
      </c>
    </row>
    <row r="3" spans="1:15" x14ac:dyDescent="0.15">
      <c r="A3" s="2">
        <v>3</v>
      </c>
      <c r="B3" s="20">
        <v>2.5000000000000001E-2</v>
      </c>
      <c r="C3" s="26">
        <v>47635</v>
      </c>
      <c r="D3" s="2">
        <v>91.700714285714298</v>
      </c>
      <c r="E3" s="2">
        <v>3.7499983904106721E-2</v>
      </c>
      <c r="F3" s="2">
        <f t="shared" ref="F3:F4" si="0">E3+0.25%</f>
        <v>3.9999983904106723E-2</v>
      </c>
      <c r="G3" s="2">
        <f>PRICE('Q5 (a)'!E5,'Q5 (a)'!E6,'Q5 (a)'!E7,'Q5 (d)'!F3,100,2,1)</f>
        <v>89.506331192551514</v>
      </c>
      <c r="H3" s="2">
        <f>COUPDAYBS('Q5 (a)'!E5,'Q5 (a)'!E6,2,1)/COUPDAYS('Q5 (a)'!E5,'Q5 (a)'!E6,2,1)*100*'Q5 (d)'!B3/2</f>
        <v>0.5357142857142857</v>
      </c>
      <c r="I3" s="2">
        <f t="shared" ref="I3:I4" si="1">G3+H3</f>
        <v>90.042045478265806</v>
      </c>
      <c r="J3" s="2">
        <f>I3/D3-1</f>
        <v>-1.8087850464070909E-2</v>
      </c>
      <c r="K3" s="2">
        <f>-'Q5 (b,c)'!E18*'Q5 (d)'!O1+'Q5 (d)'!O1^2*'Q5 (b,c)'!E48*0.5</f>
        <v>-1.8086437739085835E-2</v>
      </c>
    </row>
    <row r="4" spans="1:15" x14ac:dyDescent="0.15">
      <c r="A4" s="2">
        <v>4</v>
      </c>
      <c r="B4" s="20">
        <v>3.2500000000000001E-2</v>
      </c>
      <c r="C4" s="26">
        <v>48731</v>
      </c>
      <c r="D4" s="2">
        <v>93.934428571428569</v>
      </c>
      <c r="E4" s="2">
        <v>3.9999799494849581E-2</v>
      </c>
      <c r="F4" s="2">
        <f t="shared" si="0"/>
        <v>4.2499799494849583E-2</v>
      </c>
      <c r="G4" s="2">
        <f>PRICE('Q5 (a)'!F5,'Q5 (a)'!F6,'Q5 (a)'!F7,'Q5 (d)'!F4,100,2,1)</f>
        <v>91.104759561143581</v>
      </c>
      <c r="H4" s="2">
        <f>COUPDAYBS('Q5 (a)'!F5,'Q5 (a)'!F6,2,1)/COUPDAYS('Q5 (a)'!F5,'Q5 (a)'!F6,2,1)*100*'Q5 (d)'!B4/2</f>
        <v>0.6964285714285714</v>
      </c>
      <c r="I4" s="2">
        <f t="shared" si="1"/>
        <v>91.80118813257215</v>
      </c>
      <c r="J4" s="2">
        <f>I4/D4-1</f>
        <v>-2.2709888922508137E-2</v>
      </c>
      <c r="K4" s="2">
        <f>-'Q5 (b,c)'!F18*'Q5 (d)'!O1+'Q5 (d)'!O1^2*'Q5 (b,c)'!F48*0.5</f>
        <v>-2.2706871956248081E-2</v>
      </c>
    </row>
    <row r="6" spans="1:15" x14ac:dyDescent="0.15">
      <c r="J6" s="2" t="s">
        <v>39</v>
      </c>
      <c r="K6" s="2">
        <v>0.15663826361073935</v>
      </c>
    </row>
    <row r="7" spans="1:15" x14ac:dyDescent="0.15">
      <c r="A7" s="2" t="s">
        <v>76</v>
      </c>
      <c r="B7" s="18">
        <f>SUMPRODUCT(K2:K4,K6:K8)</f>
        <v>-1.820424921744412E-2</v>
      </c>
      <c r="J7" s="2" t="s">
        <v>40</v>
      </c>
      <c r="K7" s="2">
        <v>0.59240599510380298</v>
      </c>
    </row>
    <row r="8" spans="1:15" x14ac:dyDescent="0.15">
      <c r="A8" s="2" t="s">
        <v>77</v>
      </c>
      <c r="B8" s="18">
        <f>SUMPRODUCT(J2:J4,K6:K8)</f>
        <v>-1.8198552093412985E-2</v>
      </c>
      <c r="J8" s="2" t="s">
        <v>41</v>
      </c>
      <c r="K8" s="2">
        <v>0.25095574128566689</v>
      </c>
    </row>
    <row r="10" spans="1:15" x14ac:dyDescent="0.15">
      <c r="A10" s="2" t="s">
        <v>78</v>
      </c>
      <c r="B10" s="7">
        <f>B7-B8</f>
        <v>-5.6971240311350091E-6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B845-46A6-3848-A38D-499BCA272C46}">
  <dimension ref="A1:C12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0.05</v>
      </c>
    </row>
    <row r="3" spans="1:3" x14ac:dyDescent="0.2">
      <c r="A3">
        <v>0.25</v>
      </c>
      <c r="B3">
        <v>11.875</v>
      </c>
      <c r="C3">
        <f>C2+0.25%</f>
        <v>5.2500000000000005E-2</v>
      </c>
    </row>
    <row r="4" spans="1:3" x14ac:dyDescent="0.2">
      <c r="A4">
        <v>0.5</v>
      </c>
      <c r="B4">
        <f>B3*((1+C3/2)^0.5)+$B$3</f>
        <v>23.904849756179416</v>
      </c>
      <c r="C4">
        <f>C3+0.25%</f>
        <v>5.5000000000000007E-2</v>
      </c>
    </row>
    <row r="5" spans="1:3" x14ac:dyDescent="0.2">
      <c r="A5">
        <v>0.75</v>
      </c>
      <c r="B5">
        <f>B4*((1+C4/2)^0.5)+$B$3</f>
        <v>36.106312232663186</v>
      </c>
      <c r="C5">
        <f>C4+0.25%</f>
        <v>5.7500000000000009E-2</v>
      </c>
    </row>
    <row r="6" spans="1:3" x14ac:dyDescent="0.2">
      <c r="A6">
        <v>1</v>
      </c>
      <c r="B6">
        <f t="shared" ref="B6:B10" si="0">B5*((1+C5/2)^0.5)+$B$3</f>
        <v>48.496662637092776</v>
      </c>
      <c r="C6">
        <f>C5+0.25%</f>
        <v>6.0000000000000012E-2</v>
      </c>
    </row>
    <row r="7" spans="1:3" x14ac:dyDescent="0.2">
      <c r="A7">
        <v>1.25</v>
      </c>
      <c r="B7">
        <f t="shared" si="0"/>
        <v>61.093737037271389</v>
      </c>
      <c r="C7">
        <f t="shared" ref="C7:C10" si="1">C6+0.25%</f>
        <v>6.2500000000000014E-2</v>
      </c>
    </row>
    <row r="8" spans="1:3" x14ac:dyDescent="0.2">
      <c r="A8">
        <v>1.5</v>
      </c>
      <c r="B8">
        <f t="shared" si="0"/>
        <v>73.915983246690388</v>
      </c>
      <c r="C8">
        <f t="shared" si="1"/>
        <v>6.5000000000000016E-2</v>
      </c>
    </row>
    <row r="9" spans="1:3" x14ac:dyDescent="0.2">
      <c r="A9">
        <v>1.75</v>
      </c>
      <c r="B9">
        <f t="shared" si="0"/>
        <v>86.982514192343473</v>
      </c>
      <c r="C9">
        <f t="shared" si="1"/>
        <v>6.7500000000000018E-2</v>
      </c>
    </row>
    <row r="10" spans="1:3" x14ac:dyDescent="0.2">
      <c r="A10">
        <v>2</v>
      </c>
      <c r="B10" s="1">
        <f t="shared" si="0"/>
        <v>100.3131639912032</v>
      </c>
      <c r="C10">
        <f t="shared" si="1"/>
        <v>7.0000000000000021E-2</v>
      </c>
    </row>
    <row r="12" spans="1:3" x14ac:dyDescent="0.2">
      <c r="C12">
        <f>(1+C10/2)^0.5-1</f>
        <v>1.734949746879022E-2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8C18-FD2A-554F-A1E9-02BBF0F41752}">
  <dimension ref="A1:C10"/>
  <sheetViews>
    <sheetView workbookViewId="0">
      <selection activeCell="C3" sqref="C3: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0.05</v>
      </c>
    </row>
    <row r="3" spans="1:3" x14ac:dyDescent="0.2">
      <c r="A3">
        <v>0.25</v>
      </c>
      <c r="B3">
        <v>16.25</v>
      </c>
      <c r="C3">
        <f>C2-0.25%</f>
        <v>4.7500000000000001E-2</v>
      </c>
    </row>
    <row r="4" spans="1:3" x14ac:dyDescent="0.2">
      <c r="A4">
        <v>0.5</v>
      </c>
      <c r="B4">
        <f>B3*((1+C3/2)^0.5)+$B$3</f>
        <v>32.691836405189051</v>
      </c>
      <c r="C4">
        <f t="shared" ref="C4:C10" si="0">C3-0.25%</f>
        <v>4.4999999999999998E-2</v>
      </c>
    </row>
    <row r="5" spans="1:3" x14ac:dyDescent="0.2">
      <c r="A5">
        <v>0.75</v>
      </c>
      <c r="B5">
        <f>B4*((1+C4/2)^0.5)+$B$3</f>
        <v>49.307573736034776</v>
      </c>
      <c r="C5">
        <f t="shared" si="0"/>
        <v>4.2499999999999996E-2</v>
      </c>
    </row>
    <row r="6" spans="1:3" x14ac:dyDescent="0.2">
      <c r="A6">
        <v>1</v>
      </c>
      <c r="B6">
        <f t="shared" ref="B6:B10" si="1">B5*((1+C5/2)^0.5)+$B$3</f>
        <v>66.078712709881074</v>
      </c>
      <c r="C6">
        <f t="shared" si="0"/>
        <v>3.9999999999999994E-2</v>
      </c>
    </row>
    <row r="7" spans="1:3" x14ac:dyDescent="0.2">
      <c r="A7">
        <v>1.25</v>
      </c>
      <c r="B7">
        <f t="shared" si="1"/>
        <v>82.986228533405296</v>
      </c>
      <c r="C7">
        <f t="shared" si="0"/>
        <v>3.7499999999999992E-2</v>
      </c>
    </row>
    <row r="8" spans="1:3" x14ac:dyDescent="0.2">
      <c r="A8">
        <v>1.5</v>
      </c>
      <c r="B8">
        <f t="shared" si="1"/>
        <v>100.01061136396268</v>
      </c>
      <c r="C8">
        <f t="shared" si="0"/>
        <v>3.4999999999999989E-2</v>
      </c>
    </row>
    <row r="9" spans="1:3" x14ac:dyDescent="0.2">
      <c r="A9">
        <v>1.75</v>
      </c>
      <c r="B9">
        <f t="shared" si="1"/>
        <v>117.13190881985713</v>
      </c>
      <c r="C9">
        <f t="shared" si="0"/>
        <v>3.2499999999999987E-2</v>
      </c>
    </row>
    <row r="10" spans="1:3" x14ac:dyDescent="0.2">
      <c r="A10">
        <v>2</v>
      </c>
      <c r="B10" s="1">
        <f t="shared" si="1"/>
        <v>134.3297704089054</v>
      </c>
      <c r="C10">
        <f t="shared" si="0"/>
        <v>2.9999999999999988E-2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0E0E-D6E0-804D-899D-9F78D399FB02}">
  <dimension ref="A1:C12"/>
  <sheetViews>
    <sheetView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0.05</v>
      </c>
    </row>
    <row r="3" spans="1:3" x14ac:dyDescent="0.2">
      <c r="A3">
        <v>0.25</v>
      </c>
      <c r="B3">
        <v>11.875</v>
      </c>
      <c r="C3">
        <f>C2-0.25%</f>
        <v>4.7500000000000001E-2</v>
      </c>
    </row>
    <row r="4" spans="1:3" x14ac:dyDescent="0.2">
      <c r="A4">
        <v>0.5</v>
      </c>
      <c r="B4">
        <f>B3*((1+C3/2)^0.5)+$B$3</f>
        <v>23.890188142253535</v>
      </c>
      <c r="C4">
        <f t="shared" ref="C4:C10" si="0">C3-0.25%</f>
        <v>4.4999999999999998E-2</v>
      </c>
    </row>
    <row r="5" spans="1:3" x14ac:dyDescent="0.2">
      <c r="A5">
        <v>0.75</v>
      </c>
      <c r="B5">
        <f>B4*((1+C4/2)^0.5)+$B$3</f>
        <v>36.03245773017926</v>
      </c>
      <c r="C5">
        <f t="shared" si="0"/>
        <v>4.2499999999999996E-2</v>
      </c>
    </row>
    <row r="6" spans="1:3" x14ac:dyDescent="0.2">
      <c r="A6">
        <v>1</v>
      </c>
      <c r="B6">
        <f t="shared" ref="B6:B10" si="1">B5*((1+C5/2)^0.5)+$B$3</f>
        <v>48.288290057220792</v>
      </c>
      <c r="C6">
        <f t="shared" si="0"/>
        <v>3.9999999999999994E-2</v>
      </c>
    </row>
    <row r="7" spans="1:3" x14ac:dyDescent="0.2">
      <c r="A7">
        <v>1.25</v>
      </c>
      <c r="B7">
        <f t="shared" si="1"/>
        <v>60.643782389796186</v>
      </c>
      <c r="C7">
        <f t="shared" si="0"/>
        <v>3.7499999999999992E-2</v>
      </c>
    </row>
    <row r="8" spans="1:3" x14ac:dyDescent="0.2">
      <c r="A8">
        <v>1.5</v>
      </c>
      <c r="B8">
        <f t="shared" si="1"/>
        <v>73.084677535203497</v>
      </c>
      <c r="C8">
        <f t="shared" si="0"/>
        <v>3.4999999999999989E-2</v>
      </c>
    </row>
    <row r="9" spans="1:3" x14ac:dyDescent="0.2">
      <c r="A9">
        <v>1.75</v>
      </c>
      <c r="B9">
        <f t="shared" si="1"/>
        <v>85.596394906818674</v>
      </c>
      <c r="C9">
        <f t="shared" si="0"/>
        <v>3.2499999999999987E-2</v>
      </c>
    </row>
    <row r="10" spans="1:3" x14ac:dyDescent="0.2">
      <c r="A10">
        <v>2</v>
      </c>
      <c r="B10" s="1">
        <f t="shared" si="1"/>
        <v>98.164062991123174</v>
      </c>
      <c r="C10">
        <f t="shared" si="0"/>
        <v>2.9999999999999988E-2</v>
      </c>
    </row>
    <row r="12" spans="1:3" x14ac:dyDescent="0.2">
      <c r="C12">
        <f>(1+C10/2)^0.5-1</f>
        <v>7.4720839804942596E-3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77A3-FE59-F348-B488-140843834B53}">
  <dimension ref="A1:G31"/>
  <sheetViews>
    <sheetView workbookViewId="0">
      <selection activeCell="G12" sqref="G12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3</v>
      </c>
      <c r="D1" t="s">
        <v>4</v>
      </c>
      <c r="E1" t="s">
        <v>5</v>
      </c>
      <c r="F1" t="s">
        <v>3</v>
      </c>
      <c r="G1" t="s">
        <v>6</v>
      </c>
    </row>
    <row r="2" spans="1:7" x14ac:dyDescent="0.2">
      <c r="A2">
        <v>0.25</v>
      </c>
      <c r="B2">
        <v>3.33</v>
      </c>
      <c r="C2">
        <f>B2/100</f>
        <v>3.3300000000000003E-2</v>
      </c>
      <c r="D2">
        <v>1</v>
      </c>
      <c r="E2">
        <v>3.5</v>
      </c>
      <c r="F2">
        <f>C3</f>
        <v>3.49E-2</v>
      </c>
      <c r="G2">
        <f>E2/((1+F2/2)^D2)</f>
        <v>3.4399724802201583</v>
      </c>
    </row>
    <row r="3" spans="1:7" x14ac:dyDescent="0.2">
      <c r="A3">
        <v>0.5</v>
      </c>
      <c r="B3">
        <v>3.49</v>
      </c>
      <c r="C3">
        <f t="shared" ref="C3:C31" si="0">B3/100</f>
        <v>3.49E-2</v>
      </c>
      <c r="D3">
        <v>2</v>
      </c>
      <c r="E3">
        <v>3.5</v>
      </c>
      <c r="F3">
        <f>C5</f>
        <v>3.7100000000000001E-2</v>
      </c>
      <c r="G3">
        <f t="shared" ref="G3:G11" si="1">E3/((1+F3/2)^D3)</f>
        <v>3.3736757397972674</v>
      </c>
    </row>
    <row r="4" spans="1:7" x14ac:dyDescent="0.2">
      <c r="A4">
        <v>0.75</v>
      </c>
      <c r="B4">
        <v>3.62</v>
      </c>
      <c r="C4">
        <f t="shared" si="0"/>
        <v>3.6200000000000003E-2</v>
      </c>
      <c r="D4">
        <v>3</v>
      </c>
      <c r="E4">
        <v>3.5</v>
      </c>
      <c r="F4">
        <f>C7</f>
        <v>3.8399999999999997E-2</v>
      </c>
      <c r="G4">
        <f t="shared" si="1"/>
        <v>3.3059006614465498</v>
      </c>
    </row>
    <row r="5" spans="1:7" x14ac:dyDescent="0.2">
      <c r="A5">
        <v>1</v>
      </c>
      <c r="B5">
        <v>3.71</v>
      </c>
      <c r="C5">
        <f t="shared" si="0"/>
        <v>3.7100000000000001E-2</v>
      </c>
      <c r="D5">
        <v>4</v>
      </c>
      <c r="E5">
        <v>3.5</v>
      </c>
      <c r="F5">
        <f>C9</f>
        <v>3.8800000000000001E-2</v>
      </c>
      <c r="G5">
        <f t="shared" si="1"/>
        <v>3.2410783315112179</v>
      </c>
    </row>
    <row r="6" spans="1:7" x14ac:dyDescent="0.2">
      <c r="A6">
        <v>1.25</v>
      </c>
      <c r="B6">
        <v>3.79</v>
      </c>
      <c r="C6">
        <f t="shared" si="0"/>
        <v>3.7900000000000003E-2</v>
      </c>
      <c r="D6">
        <v>5</v>
      </c>
      <c r="E6">
        <v>3.5</v>
      </c>
      <c r="F6">
        <f>C11</f>
        <v>3.8800000000000001E-2</v>
      </c>
      <c r="G6">
        <f t="shared" si="1"/>
        <v>3.179398010114987</v>
      </c>
    </row>
    <row r="7" spans="1:7" x14ac:dyDescent="0.2">
      <c r="A7">
        <v>1.5</v>
      </c>
      <c r="B7">
        <v>3.84</v>
      </c>
      <c r="C7">
        <f t="shared" si="0"/>
        <v>3.8399999999999997E-2</v>
      </c>
      <c r="D7">
        <v>6</v>
      </c>
      <c r="E7">
        <v>3.5</v>
      </c>
      <c r="F7">
        <f>C13</f>
        <v>3.8300000000000001E-2</v>
      </c>
      <c r="G7">
        <f t="shared" si="1"/>
        <v>3.1234847612873695</v>
      </c>
    </row>
    <row r="8" spans="1:7" x14ac:dyDescent="0.2">
      <c r="A8">
        <v>1.75</v>
      </c>
      <c r="B8">
        <v>3.87</v>
      </c>
      <c r="C8">
        <f t="shared" si="0"/>
        <v>3.8699999999999998E-2</v>
      </c>
      <c r="D8">
        <v>7</v>
      </c>
      <c r="E8">
        <v>3.5</v>
      </c>
      <c r="F8">
        <f>C15</f>
        <v>3.7599999999999995E-2</v>
      </c>
      <c r="G8">
        <f t="shared" si="1"/>
        <v>3.0721717429569502</v>
      </c>
    </row>
    <row r="9" spans="1:7" x14ac:dyDescent="0.2">
      <c r="A9">
        <v>2</v>
      </c>
      <c r="B9">
        <v>3.88</v>
      </c>
      <c r="C9">
        <f t="shared" si="0"/>
        <v>3.8800000000000001E-2</v>
      </c>
      <c r="D9">
        <v>8</v>
      </c>
      <c r="E9">
        <v>3.5</v>
      </c>
      <c r="F9">
        <f>C17</f>
        <v>3.6699999999999997E-2</v>
      </c>
      <c r="G9">
        <f t="shared" si="1"/>
        <v>3.0261573248012814</v>
      </c>
    </row>
    <row r="10" spans="1:7" x14ac:dyDescent="0.2">
      <c r="A10">
        <v>2.25</v>
      </c>
      <c r="B10">
        <v>3.89</v>
      </c>
      <c r="C10">
        <f t="shared" si="0"/>
        <v>3.8900000000000004E-2</v>
      </c>
      <c r="D10">
        <v>9</v>
      </c>
      <c r="E10">
        <v>3.5</v>
      </c>
      <c r="F10">
        <f>C19</f>
        <v>3.5699999999999996E-2</v>
      </c>
      <c r="G10">
        <f t="shared" si="1"/>
        <v>2.984791612103824</v>
      </c>
    </row>
    <row r="11" spans="1:7" x14ac:dyDescent="0.2">
      <c r="A11">
        <v>2.5</v>
      </c>
      <c r="B11">
        <v>3.88</v>
      </c>
      <c r="C11">
        <f t="shared" si="0"/>
        <v>3.8800000000000001E-2</v>
      </c>
      <c r="D11">
        <v>10</v>
      </c>
      <c r="E11">
        <v>103.5</v>
      </c>
      <c r="F11">
        <f>C21</f>
        <v>3.4500000000000003E-2</v>
      </c>
      <c r="G11">
        <f t="shared" si="1"/>
        <v>87.229496271204752</v>
      </c>
    </row>
    <row r="12" spans="1:7" x14ac:dyDescent="0.2">
      <c r="A12">
        <v>2.75</v>
      </c>
      <c r="B12">
        <v>3.86</v>
      </c>
      <c r="C12">
        <f t="shared" si="0"/>
        <v>3.8599999999999995E-2</v>
      </c>
      <c r="G12" s="1">
        <f>SUM(G2:G11)</f>
        <v>115.97612693544436</v>
      </c>
    </row>
    <row r="13" spans="1:7" x14ac:dyDescent="0.2">
      <c r="A13">
        <v>3</v>
      </c>
      <c r="B13">
        <v>3.83</v>
      </c>
      <c r="C13">
        <f t="shared" si="0"/>
        <v>3.8300000000000001E-2</v>
      </c>
    </row>
    <row r="14" spans="1:7" x14ac:dyDescent="0.2">
      <c r="A14">
        <v>3.25</v>
      </c>
      <c r="B14">
        <v>3.8</v>
      </c>
      <c r="C14">
        <f t="shared" si="0"/>
        <v>3.7999999999999999E-2</v>
      </c>
    </row>
    <row r="15" spans="1:7" x14ac:dyDescent="0.2">
      <c r="A15">
        <v>3.5</v>
      </c>
      <c r="B15">
        <v>3.76</v>
      </c>
      <c r="C15">
        <f t="shared" si="0"/>
        <v>3.7599999999999995E-2</v>
      </c>
    </row>
    <row r="16" spans="1:7" x14ac:dyDescent="0.2">
      <c r="A16">
        <v>3.75</v>
      </c>
      <c r="B16">
        <v>3.72</v>
      </c>
      <c r="C16">
        <f t="shared" si="0"/>
        <v>3.7200000000000004E-2</v>
      </c>
    </row>
    <row r="17" spans="1:3" x14ac:dyDescent="0.2">
      <c r="A17">
        <v>4</v>
      </c>
      <c r="B17">
        <v>3.67</v>
      </c>
      <c r="C17">
        <f t="shared" si="0"/>
        <v>3.6699999999999997E-2</v>
      </c>
    </row>
    <row r="18" spans="1:3" x14ac:dyDescent="0.2">
      <c r="A18">
        <v>4.25</v>
      </c>
      <c r="B18">
        <v>3.62</v>
      </c>
      <c r="C18">
        <f t="shared" si="0"/>
        <v>3.6200000000000003E-2</v>
      </c>
    </row>
    <row r="19" spans="1:3" x14ac:dyDescent="0.2">
      <c r="A19">
        <v>4.5</v>
      </c>
      <c r="B19">
        <v>3.57</v>
      </c>
      <c r="C19">
        <f t="shared" si="0"/>
        <v>3.5699999999999996E-2</v>
      </c>
    </row>
    <row r="20" spans="1:3" x14ac:dyDescent="0.2">
      <c r="A20">
        <v>4.75</v>
      </c>
      <c r="B20">
        <v>3.51</v>
      </c>
      <c r="C20">
        <f t="shared" si="0"/>
        <v>3.5099999999999999E-2</v>
      </c>
    </row>
    <row r="21" spans="1:3" x14ac:dyDescent="0.2">
      <c r="A21">
        <v>5</v>
      </c>
      <c r="B21">
        <v>3.45</v>
      </c>
      <c r="C21">
        <f t="shared" si="0"/>
        <v>3.4500000000000003E-2</v>
      </c>
    </row>
    <row r="22" spans="1:3" x14ac:dyDescent="0.2">
      <c r="A22">
        <v>5.25</v>
      </c>
      <c r="B22">
        <v>3.39</v>
      </c>
      <c r="C22">
        <f t="shared" si="0"/>
        <v>3.39E-2</v>
      </c>
    </row>
    <row r="23" spans="1:3" x14ac:dyDescent="0.2">
      <c r="A23">
        <v>5.5</v>
      </c>
      <c r="B23">
        <v>3.31</v>
      </c>
      <c r="C23">
        <f t="shared" si="0"/>
        <v>3.3099999999999997E-2</v>
      </c>
    </row>
    <row r="24" spans="1:3" x14ac:dyDescent="0.2">
      <c r="A24">
        <v>5.75</v>
      </c>
      <c r="B24">
        <v>3.24</v>
      </c>
      <c r="C24">
        <f t="shared" si="0"/>
        <v>3.2400000000000005E-2</v>
      </c>
    </row>
    <row r="25" spans="1:3" x14ac:dyDescent="0.2">
      <c r="A25">
        <v>6</v>
      </c>
      <c r="B25">
        <v>3.15</v>
      </c>
      <c r="C25">
        <f t="shared" si="0"/>
        <v>3.15E-2</v>
      </c>
    </row>
    <row r="26" spans="1:3" x14ac:dyDescent="0.2">
      <c r="A26">
        <v>6.25</v>
      </c>
      <c r="B26">
        <v>3.05</v>
      </c>
      <c r="C26">
        <f t="shared" si="0"/>
        <v>3.0499999999999999E-2</v>
      </c>
    </row>
    <row r="27" spans="1:3" x14ac:dyDescent="0.2">
      <c r="A27">
        <v>6.5</v>
      </c>
      <c r="B27">
        <v>2.94</v>
      </c>
      <c r="C27">
        <f t="shared" si="0"/>
        <v>2.9399999999999999E-2</v>
      </c>
    </row>
    <row r="28" spans="1:3" x14ac:dyDescent="0.2">
      <c r="A28">
        <v>6.75</v>
      </c>
      <c r="B28">
        <v>2.81</v>
      </c>
      <c r="C28">
        <f t="shared" si="0"/>
        <v>2.81E-2</v>
      </c>
    </row>
    <row r="29" spans="1:3" x14ac:dyDescent="0.2">
      <c r="A29">
        <v>7</v>
      </c>
      <c r="B29">
        <v>2.67</v>
      </c>
      <c r="C29">
        <f t="shared" si="0"/>
        <v>2.6699999999999998E-2</v>
      </c>
    </row>
    <row r="30" spans="1:3" x14ac:dyDescent="0.2">
      <c r="A30">
        <v>7.25</v>
      </c>
      <c r="B30">
        <v>2.5</v>
      </c>
      <c r="C30">
        <f t="shared" si="0"/>
        <v>2.5000000000000001E-2</v>
      </c>
    </row>
    <row r="31" spans="1:3" x14ac:dyDescent="0.2">
      <c r="A31">
        <v>7.5</v>
      </c>
      <c r="B31">
        <v>2.31</v>
      </c>
      <c r="C31">
        <f t="shared" si="0"/>
        <v>2.3099999999999999E-2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3B39-4F3A-364D-B8F5-8B9B2FC6CA00}">
  <dimension ref="A1:G31"/>
  <sheetViews>
    <sheetView workbookViewId="0">
      <selection activeCell="G14" sqref="G14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3</v>
      </c>
      <c r="D1" t="s">
        <v>4</v>
      </c>
      <c r="E1" t="s">
        <v>5</v>
      </c>
      <c r="F1" t="s">
        <v>3</v>
      </c>
      <c r="G1" t="s">
        <v>6</v>
      </c>
    </row>
    <row r="2" spans="1:7" x14ac:dyDescent="0.2">
      <c r="A2">
        <v>0.25</v>
      </c>
      <c r="B2">
        <v>3.33</v>
      </c>
      <c r="C2">
        <f>B2/100</f>
        <v>3.3300000000000003E-2</v>
      </c>
      <c r="D2">
        <v>1</v>
      </c>
      <c r="E2">
        <v>1</v>
      </c>
      <c r="F2">
        <f>C2</f>
        <v>3.3300000000000003E-2</v>
      </c>
      <c r="G2">
        <f>E2/((1+F2/2)^(D2/2))</f>
        <v>0.99177753671831803</v>
      </c>
    </row>
    <row r="3" spans="1:7" x14ac:dyDescent="0.2">
      <c r="A3">
        <v>0.5</v>
      </c>
      <c r="B3">
        <v>3.49</v>
      </c>
      <c r="C3">
        <f t="shared" ref="C3:C31" si="0">B3/100</f>
        <v>3.49E-2</v>
      </c>
      <c r="D3">
        <v>2</v>
      </c>
      <c r="E3">
        <v>1</v>
      </c>
      <c r="F3">
        <f>C3</f>
        <v>3.49E-2</v>
      </c>
      <c r="G3">
        <f t="shared" ref="G3:G13" si="1">E3/((1+F3/2)^(D3/2))</f>
        <v>0.9828492800629024</v>
      </c>
    </row>
    <row r="4" spans="1:7" x14ac:dyDescent="0.2">
      <c r="A4">
        <v>0.75</v>
      </c>
      <c r="B4">
        <v>3.62</v>
      </c>
      <c r="C4">
        <f t="shared" si="0"/>
        <v>3.6200000000000003E-2</v>
      </c>
      <c r="D4">
        <v>3</v>
      </c>
      <c r="E4">
        <v>1</v>
      </c>
      <c r="F4">
        <f t="shared" ref="F4:F12" si="2">C4</f>
        <v>3.6200000000000003E-2</v>
      </c>
      <c r="G4">
        <f t="shared" si="1"/>
        <v>0.97345155641219094</v>
      </c>
    </row>
    <row r="5" spans="1:7" x14ac:dyDescent="0.2">
      <c r="A5">
        <v>1</v>
      </c>
      <c r="B5">
        <v>3.71</v>
      </c>
      <c r="C5">
        <f t="shared" si="0"/>
        <v>3.7100000000000001E-2</v>
      </c>
      <c r="D5">
        <v>4</v>
      </c>
      <c r="E5">
        <v>1</v>
      </c>
      <c r="F5">
        <f t="shared" si="2"/>
        <v>3.7100000000000001E-2</v>
      </c>
      <c r="G5">
        <f t="shared" si="1"/>
        <v>0.96390735422779072</v>
      </c>
    </row>
    <row r="6" spans="1:7" x14ac:dyDescent="0.2">
      <c r="A6">
        <v>1.25</v>
      </c>
      <c r="B6">
        <v>3.79</v>
      </c>
      <c r="C6">
        <f t="shared" si="0"/>
        <v>3.7900000000000003E-2</v>
      </c>
      <c r="D6">
        <v>5</v>
      </c>
      <c r="E6">
        <v>1</v>
      </c>
      <c r="F6">
        <f t="shared" si="2"/>
        <v>3.7900000000000003E-2</v>
      </c>
      <c r="G6">
        <f t="shared" si="1"/>
        <v>0.95415255128697185</v>
      </c>
    </row>
    <row r="7" spans="1:7" x14ac:dyDescent="0.2">
      <c r="A7">
        <v>1.5</v>
      </c>
      <c r="B7">
        <v>3.84</v>
      </c>
      <c r="C7">
        <f t="shared" si="0"/>
        <v>3.8399999999999997E-2</v>
      </c>
      <c r="D7">
        <v>6</v>
      </c>
      <c r="E7">
        <v>1</v>
      </c>
      <c r="F7">
        <f t="shared" si="2"/>
        <v>3.8399999999999997E-2</v>
      </c>
      <c r="G7">
        <f t="shared" si="1"/>
        <v>0.94454304612758566</v>
      </c>
    </row>
    <row r="8" spans="1:7" x14ac:dyDescent="0.2">
      <c r="A8">
        <v>1.75</v>
      </c>
      <c r="B8">
        <v>3.87</v>
      </c>
      <c r="C8">
        <f t="shared" si="0"/>
        <v>3.8699999999999998E-2</v>
      </c>
      <c r="D8">
        <v>7</v>
      </c>
      <c r="E8">
        <v>1</v>
      </c>
      <c r="F8">
        <f t="shared" si="2"/>
        <v>3.8699999999999998E-2</v>
      </c>
      <c r="G8">
        <f t="shared" si="1"/>
        <v>0.93512217253790964</v>
      </c>
    </row>
    <row r="9" spans="1:7" x14ac:dyDescent="0.2">
      <c r="A9">
        <v>2</v>
      </c>
      <c r="B9">
        <v>3.88</v>
      </c>
      <c r="C9">
        <f t="shared" si="0"/>
        <v>3.8800000000000001E-2</v>
      </c>
      <c r="D9">
        <v>8</v>
      </c>
      <c r="E9">
        <v>1</v>
      </c>
      <c r="F9">
        <f t="shared" si="2"/>
        <v>3.8800000000000001E-2</v>
      </c>
      <c r="G9">
        <f t="shared" si="1"/>
        <v>0.92602238043177665</v>
      </c>
    </row>
    <row r="10" spans="1:7" x14ac:dyDescent="0.2">
      <c r="A10">
        <v>2.25</v>
      </c>
      <c r="B10">
        <v>3.89</v>
      </c>
      <c r="C10">
        <f t="shared" si="0"/>
        <v>3.8900000000000004E-2</v>
      </c>
      <c r="D10">
        <v>9</v>
      </c>
      <c r="E10">
        <v>1</v>
      </c>
      <c r="F10">
        <f t="shared" si="2"/>
        <v>3.8900000000000004E-2</v>
      </c>
      <c r="G10">
        <f t="shared" si="1"/>
        <v>0.91696617149616844</v>
      </c>
    </row>
    <row r="11" spans="1:7" x14ac:dyDescent="0.2">
      <c r="A11">
        <v>2.5</v>
      </c>
      <c r="B11">
        <v>3.88</v>
      </c>
      <c r="C11">
        <f t="shared" si="0"/>
        <v>3.8800000000000001E-2</v>
      </c>
      <c r="D11">
        <v>10</v>
      </c>
      <c r="E11">
        <v>1</v>
      </c>
      <c r="F11">
        <f t="shared" si="2"/>
        <v>3.8800000000000001E-2</v>
      </c>
      <c r="G11">
        <f t="shared" si="1"/>
        <v>0.90839943146142488</v>
      </c>
    </row>
    <row r="12" spans="1:7" x14ac:dyDescent="0.2">
      <c r="A12">
        <v>2.75</v>
      </c>
      <c r="B12">
        <v>3.86</v>
      </c>
      <c r="C12">
        <f t="shared" si="0"/>
        <v>3.8599999999999995E-2</v>
      </c>
      <c r="D12">
        <v>11</v>
      </c>
      <c r="E12">
        <v>1</v>
      </c>
      <c r="F12">
        <f t="shared" si="2"/>
        <v>3.8599999999999995E-2</v>
      </c>
      <c r="G12">
        <f t="shared" si="1"/>
        <v>0.9001997061441962</v>
      </c>
    </row>
    <row r="13" spans="1:7" x14ac:dyDescent="0.2">
      <c r="A13">
        <v>3</v>
      </c>
      <c r="B13">
        <v>3.83</v>
      </c>
      <c r="C13">
        <f t="shared" si="0"/>
        <v>3.8300000000000001E-2</v>
      </c>
      <c r="D13">
        <v>12</v>
      </c>
      <c r="E13">
        <v>101</v>
      </c>
      <c r="F13">
        <f>C13</f>
        <v>3.8300000000000001E-2</v>
      </c>
      <c r="G13">
        <f t="shared" si="1"/>
        <v>90.134845968578389</v>
      </c>
    </row>
    <row r="14" spans="1:7" x14ac:dyDescent="0.2">
      <c r="A14">
        <v>3.25</v>
      </c>
      <c r="B14">
        <v>3.8</v>
      </c>
      <c r="C14">
        <f t="shared" si="0"/>
        <v>3.7999999999999999E-2</v>
      </c>
      <c r="G14" s="1">
        <f>SUM(G2:G13)</f>
        <v>100.53223715548563</v>
      </c>
    </row>
    <row r="15" spans="1:7" x14ac:dyDescent="0.2">
      <c r="A15">
        <v>3.5</v>
      </c>
      <c r="B15">
        <v>3.76</v>
      </c>
      <c r="C15">
        <f t="shared" si="0"/>
        <v>3.7599999999999995E-2</v>
      </c>
    </row>
    <row r="16" spans="1:7" x14ac:dyDescent="0.2">
      <c r="A16">
        <v>3.75</v>
      </c>
      <c r="B16">
        <v>3.72</v>
      </c>
      <c r="C16">
        <f t="shared" si="0"/>
        <v>3.7200000000000004E-2</v>
      </c>
    </row>
    <row r="17" spans="1:3" x14ac:dyDescent="0.2">
      <c r="A17">
        <v>4</v>
      </c>
      <c r="B17">
        <v>3.67</v>
      </c>
      <c r="C17">
        <f t="shared" si="0"/>
        <v>3.6699999999999997E-2</v>
      </c>
    </row>
    <row r="18" spans="1:3" x14ac:dyDescent="0.2">
      <c r="A18">
        <v>4.25</v>
      </c>
      <c r="B18">
        <v>3.62</v>
      </c>
      <c r="C18">
        <f t="shared" si="0"/>
        <v>3.6200000000000003E-2</v>
      </c>
    </row>
    <row r="19" spans="1:3" x14ac:dyDescent="0.2">
      <c r="A19">
        <v>4.5</v>
      </c>
      <c r="B19">
        <v>3.57</v>
      </c>
      <c r="C19">
        <f t="shared" si="0"/>
        <v>3.5699999999999996E-2</v>
      </c>
    </row>
    <row r="20" spans="1:3" x14ac:dyDescent="0.2">
      <c r="A20">
        <v>4.75</v>
      </c>
      <c r="B20">
        <v>3.51</v>
      </c>
      <c r="C20">
        <f t="shared" si="0"/>
        <v>3.5099999999999999E-2</v>
      </c>
    </row>
    <row r="21" spans="1:3" x14ac:dyDescent="0.2">
      <c r="A21">
        <v>5</v>
      </c>
      <c r="B21">
        <v>3.45</v>
      </c>
      <c r="C21">
        <f t="shared" si="0"/>
        <v>3.4500000000000003E-2</v>
      </c>
    </row>
    <row r="22" spans="1:3" x14ac:dyDescent="0.2">
      <c r="A22">
        <v>5.25</v>
      </c>
      <c r="B22">
        <v>3.39</v>
      </c>
      <c r="C22">
        <f t="shared" si="0"/>
        <v>3.39E-2</v>
      </c>
    </row>
    <row r="23" spans="1:3" x14ac:dyDescent="0.2">
      <c r="A23">
        <v>5.5</v>
      </c>
      <c r="B23">
        <v>3.31</v>
      </c>
      <c r="C23">
        <f t="shared" si="0"/>
        <v>3.3099999999999997E-2</v>
      </c>
    </row>
    <row r="24" spans="1:3" x14ac:dyDescent="0.2">
      <c r="A24">
        <v>5.75</v>
      </c>
      <c r="B24">
        <v>3.24</v>
      </c>
      <c r="C24">
        <f t="shared" si="0"/>
        <v>3.2400000000000005E-2</v>
      </c>
    </row>
    <row r="25" spans="1:3" x14ac:dyDescent="0.2">
      <c r="A25">
        <v>6</v>
      </c>
      <c r="B25">
        <v>3.15</v>
      </c>
      <c r="C25">
        <f t="shared" si="0"/>
        <v>3.15E-2</v>
      </c>
    </row>
    <row r="26" spans="1:3" x14ac:dyDescent="0.2">
      <c r="A26">
        <v>6.25</v>
      </c>
      <c r="B26">
        <v>3.05</v>
      </c>
      <c r="C26">
        <f t="shared" si="0"/>
        <v>3.0499999999999999E-2</v>
      </c>
    </row>
    <row r="27" spans="1:3" x14ac:dyDescent="0.2">
      <c r="A27">
        <v>6.5</v>
      </c>
      <c r="B27">
        <v>2.94</v>
      </c>
      <c r="C27">
        <f t="shared" si="0"/>
        <v>2.9399999999999999E-2</v>
      </c>
    </row>
    <row r="28" spans="1:3" x14ac:dyDescent="0.2">
      <c r="A28">
        <v>6.75</v>
      </c>
      <c r="B28">
        <v>2.81</v>
      </c>
      <c r="C28">
        <f t="shared" si="0"/>
        <v>2.81E-2</v>
      </c>
    </row>
    <row r="29" spans="1:3" x14ac:dyDescent="0.2">
      <c r="A29">
        <v>7</v>
      </c>
      <c r="B29">
        <v>2.67</v>
      </c>
      <c r="C29">
        <f t="shared" si="0"/>
        <v>2.6699999999999998E-2</v>
      </c>
    </row>
    <row r="30" spans="1:3" x14ac:dyDescent="0.2">
      <c r="A30">
        <v>7.25</v>
      </c>
      <c r="B30">
        <v>2.5</v>
      </c>
      <c r="C30">
        <f t="shared" si="0"/>
        <v>2.5000000000000001E-2</v>
      </c>
    </row>
    <row r="31" spans="1:3" x14ac:dyDescent="0.2">
      <c r="A31">
        <v>7.5</v>
      </c>
      <c r="B31">
        <v>2.31</v>
      </c>
      <c r="C31">
        <f t="shared" si="0"/>
        <v>2.3099999999999999E-2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2B5A-0E9C-094C-B628-94E4045FC617}">
  <sheetPr>
    <tabColor theme="7" tint="0.59999389629810485"/>
  </sheetPr>
  <dimension ref="A1:K31"/>
  <sheetViews>
    <sheetView workbookViewId="0">
      <selection activeCell="D9" sqref="D9"/>
    </sheetView>
  </sheetViews>
  <sheetFormatPr baseColWidth="10" defaultRowHeight="16" x14ac:dyDescent="0.2"/>
  <sheetData>
    <row r="1" spans="1:11" x14ac:dyDescent="0.2">
      <c r="A1" t="s">
        <v>0</v>
      </c>
      <c r="B1" t="s">
        <v>3</v>
      </c>
      <c r="C1" t="s">
        <v>3</v>
      </c>
      <c r="D1" t="s">
        <v>4</v>
      </c>
      <c r="E1" t="s">
        <v>5</v>
      </c>
      <c r="F1" t="s">
        <v>3</v>
      </c>
      <c r="G1" t="s">
        <v>6</v>
      </c>
    </row>
    <row r="2" spans="1:11" x14ac:dyDescent="0.2">
      <c r="A2">
        <v>0.25</v>
      </c>
      <c r="B2">
        <v>3.33</v>
      </c>
      <c r="C2">
        <f>B2/100</f>
        <v>3.3300000000000003E-2</v>
      </c>
      <c r="D2">
        <v>1</v>
      </c>
      <c r="E2">
        <v>4</v>
      </c>
      <c r="F2">
        <f>C5</f>
        <v>3.7100000000000001E-2</v>
      </c>
      <c r="G2">
        <f>E2/((1+K2/2)^(J2*2))</f>
        <v>3.9671101468732721</v>
      </c>
      <c r="I2">
        <v>0.75</v>
      </c>
      <c r="J2">
        <f>D2-$I$2</f>
        <v>0.25</v>
      </c>
      <c r="K2">
        <f>C2</f>
        <v>3.3300000000000003E-2</v>
      </c>
    </row>
    <row r="3" spans="1:11" x14ac:dyDescent="0.2">
      <c r="A3">
        <v>0.5</v>
      </c>
      <c r="B3">
        <v>3.49</v>
      </c>
      <c r="C3">
        <f t="shared" ref="C3:C31" si="0">B3/100</f>
        <v>3.49E-2</v>
      </c>
      <c r="D3">
        <v>2</v>
      </c>
      <c r="E3">
        <v>4</v>
      </c>
      <c r="F3">
        <f>C9</f>
        <v>3.8800000000000001E-2</v>
      </c>
      <c r="G3">
        <f t="shared" ref="G3:G9" si="1">E3/((1+K3/2)^(J3*2))</f>
        <v>3.8166102051478874</v>
      </c>
      <c r="J3">
        <f t="shared" ref="J3:J9" si="2">D3-$I$2</f>
        <v>1.25</v>
      </c>
      <c r="K3">
        <f>C6</f>
        <v>3.7900000000000003E-2</v>
      </c>
    </row>
    <row r="4" spans="1:11" x14ac:dyDescent="0.2">
      <c r="A4">
        <v>0.75</v>
      </c>
      <c r="B4">
        <v>3.62</v>
      </c>
      <c r="C4">
        <f t="shared" si="0"/>
        <v>3.6200000000000003E-2</v>
      </c>
      <c r="D4">
        <v>3</v>
      </c>
      <c r="E4">
        <v>4</v>
      </c>
      <c r="F4">
        <f>C13</f>
        <v>3.8300000000000001E-2</v>
      </c>
      <c r="G4">
        <f t="shared" si="1"/>
        <v>3.6678646859846737</v>
      </c>
      <c r="J4">
        <f t="shared" si="2"/>
        <v>2.25</v>
      </c>
      <c r="K4">
        <f>C10</f>
        <v>3.8900000000000004E-2</v>
      </c>
    </row>
    <row r="5" spans="1:11" x14ac:dyDescent="0.2">
      <c r="A5">
        <v>1</v>
      </c>
      <c r="B5">
        <v>3.71</v>
      </c>
      <c r="C5">
        <f t="shared" si="0"/>
        <v>3.7100000000000001E-2</v>
      </c>
      <c r="D5">
        <v>4</v>
      </c>
      <c r="E5">
        <v>4</v>
      </c>
      <c r="F5">
        <f>C17</f>
        <v>3.6699999999999997E-2</v>
      </c>
      <c r="G5">
        <f t="shared" si="1"/>
        <v>3.5393849126357519</v>
      </c>
      <c r="J5">
        <f t="shared" si="2"/>
        <v>3.25</v>
      </c>
      <c r="K5">
        <f>C14</f>
        <v>3.7999999999999999E-2</v>
      </c>
    </row>
    <row r="6" spans="1:11" x14ac:dyDescent="0.2">
      <c r="A6">
        <v>1.25</v>
      </c>
      <c r="B6">
        <v>3.79</v>
      </c>
      <c r="C6">
        <f t="shared" si="0"/>
        <v>3.7900000000000003E-2</v>
      </c>
      <c r="D6">
        <v>5</v>
      </c>
      <c r="E6">
        <v>4</v>
      </c>
      <c r="F6">
        <f>C21</f>
        <v>3.4500000000000003E-2</v>
      </c>
      <c r="G6">
        <f t="shared" si="1"/>
        <v>3.4343240648063937</v>
      </c>
      <c r="J6">
        <f t="shared" si="2"/>
        <v>4.25</v>
      </c>
      <c r="K6">
        <f>C18</f>
        <v>3.6200000000000003E-2</v>
      </c>
    </row>
    <row r="7" spans="1:11" x14ac:dyDescent="0.2">
      <c r="A7">
        <v>1.5</v>
      </c>
      <c r="B7">
        <v>3.84</v>
      </c>
      <c r="C7">
        <f t="shared" si="0"/>
        <v>3.8399999999999997E-2</v>
      </c>
      <c r="D7">
        <v>6</v>
      </c>
      <c r="E7">
        <v>4</v>
      </c>
      <c r="F7">
        <f>C25</f>
        <v>3.15E-2</v>
      </c>
      <c r="G7">
        <f t="shared" si="1"/>
        <v>3.3528504639519623</v>
      </c>
      <c r="J7">
        <f t="shared" si="2"/>
        <v>5.25</v>
      </c>
      <c r="K7">
        <f>C22</f>
        <v>3.39E-2</v>
      </c>
    </row>
    <row r="8" spans="1:11" x14ac:dyDescent="0.2">
      <c r="A8">
        <v>1.75</v>
      </c>
      <c r="B8">
        <v>3.87</v>
      </c>
      <c r="C8">
        <f t="shared" si="0"/>
        <v>3.8699999999999998E-2</v>
      </c>
      <c r="D8">
        <v>7</v>
      </c>
      <c r="E8">
        <v>4</v>
      </c>
      <c r="F8">
        <f>C29</f>
        <v>2.6699999999999998E-2</v>
      </c>
      <c r="G8">
        <f t="shared" si="1"/>
        <v>3.3105298970411803</v>
      </c>
      <c r="J8">
        <f t="shared" si="2"/>
        <v>6.25</v>
      </c>
      <c r="K8">
        <f>C26</f>
        <v>3.0499999999999999E-2</v>
      </c>
    </row>
    <row r="9" spans="1:11" x14ac:dyDescent="0.2">
      <c r="A9">
        <v>2</v>
      </c>
      <c r="B9">
        <v>3.88</v>
      </c>
      <c r="C9">
        <f t="shared" si="0"/>
        <v>3.8800000000000001E-2</v>
      </c>
      <c r="D9">
        <v>8</v>
      </c>
      <c r="E9">
        <v>104</v>
      </c>
      <c r="F9">
        <f>C30</f>
        <v>2.5000000000000001E-2</v>
      </c>
      <c r="G9">
        <f t="shared" si="1"/>
        <v>86.857110394416935</v>
      </c>
      <c r="J9">
        <f t="shared" si="2"/>
        <v>7.25</v>
      </c>
      <c r="K9">
        <f>C30</f>
        <v>2.5000000000000001E-2</v>
      </c>
    </row>
    <row r="10" spans="1:11" x14ac:dyDescent="0.2">
      <c r="A10">
        <v>2.25</v>
      </c>
      <c r="B10">
        <v>3.89</v>
      </c>
      <c r="C10">
        <f t="shared" si="0"/>
        <v>3.8900000000000004E-2</v>
      </c>
    </row>
    <row r="11" spans="1:11" x14ac:dyDescent="0.2">
      <c r="A11">
        <v>2.5</v>
      </c>
      <c r="B11">
        <v>3.88</v>
      </c>
      <c r="C11">
        <f t="shared" si="0"/>
        <v>3.8800000000000001E-2</v>
      </c>
    </row>
    <row r="12" spans="1:11" x14ac:dyDescent="0.2">
      <c r="A12">
        <v>2.75</v>
      </c>
      <c r="B12">
        <v>3.86</v>
      </c>
      <c r="C12">
        <f t="shared" si="0"/>
        <v>3.8599999999999995E-2</v>
      </c>
    </row>
    <row r="13" spans="1:11" x14ac:dyDescent="0.2">
      <c r="A13">
        <v>3</v>
      </c>
      <c r="B13">
        <v>3.83</v>
      </c>
      <c r="C13">
        <f t="shared" si="0"/>
        <v>3.8300000000000001E-2</v>
      </c>
    </row>
    <row r="14" spans="1:11" x14ac:dyDescent="0.2">
      <c r="A14">
        <v>3.25</v>
      </c>
      <c r="B14">
        <v>3.8</v>
      </c>
      <c r="C14">
        <f t="shared" si="0"/>
        <v>3.7999999999999999E-2</v>
      </c>
      <c r="G14" s="1">
        <f>SUM(G2:G13)</f>
        <v>111.94578477085805</v>
      </c>
    </row>
    <row r="15" spans="1:11" x14ac:dyDescent="0.2">
      <c r="A15">
        <v>3.5</v>
      </c>
      <c r="B15">
        <v>3.76</v>
      </c>
      <c r="C15">
        <f t="shared" si="0"/>
        <v>3.7599999999999995E-2</v>
      </c>
    </row>
    <row r="16" spans="1:11" x14ac:dyDescent="0.2">
      <c r="A16">
        <v>3.75</v>
      </c>
      <c r="B16">
        <v>3.72</v>
      </c>
      <c r="C16">
        <f t="shared" si="0"/>
        <v>3.7200000000000004E-2</v>
      </c>
    </row>
    <row r="17" spans="1:3" x14ac:dyDescent="0.2">
      <c r="A17">
        <v>4</v>
      </c>
      <c r="B17">
        <v>3.67</v>
      </c>
      <c r="C17">
        <f t="shared" si="0"/>
        <v>3.6699999999999997E-2</v>
      </c>
    </row>
    <row r="18" spans="1:3" x14ac:dyDescent="0.2">
      <c r="A18">
        <v>4.25</v>
      </c>
      <c r="B18">
        <v>3.62</v>
      </c>
      <c r="C18">
        <f t="shared" si="0"/>
        <v>3.6200000000000003E-2</v>
      </c>
    </row>
    <row r="19" spans="1:3" x14ac:dyDescent="0.2">
      <c r="A19">
        <v>4.5</v>
      </c>
      <c r="B19">
        <v>3.57</v>
      </c>
      <c r="C19">
        <f t="shared" si="0"/>
        <v>3.5699999999999996E-2</v>
      </c>
    </row>
    <row r="20" spans="1:3" x14ac:dyDescent="0.2">
      <c r="A20">
        <v>4.75</v>
      </c>
      <c r="B20">
        <v>3.51</v>
      </c>
      <c r="C20">
        <f t="shared" si="0"/>
        <v>3.5099999999999999E-2</v>
      </c>
    </row>
    <row r="21" spans="1:3" x14ac:dyDescent="0.2">
      <c r="A21">
        <v>5</v>
      </c>
      <c r="B21">
        <v>3.45</v>
      </c>
      <c r="C21">
        <f t="shared" si="0"/>
        <v>3.4500000000000003E-2</v>
      </c>
    </row>
    <row r="22" spans="1:3" x14ac:dyDescent="0.2">
      <c r="A22">
        <v>5.25</v>
      </c>
      <c r="B22">
        <v>3.39</v>
      </c>
      <c r="C22">
        <f t="shared" si="0"/>
        <v>3.39E-2</v>
      </c>
    </row>
    <row r="23" spans="1:3" x14ac:dyDescent="0.2">
      <c r="A23">
        <v>5.5</v>
      </c>
      <c r="B23">
        <v>3.31</v>
      </c>
      <c r="C23">
        <f t="shared" si="0"/>
        <v>3.3099999999999997E-2</v>
      </c>
    </row>
    <row r="24" spans="1:3" x14ac:dyDescent="0.2">
      <c r="A24">
        <v>5.75</v>
      </c>
      <c r="B24">
        <v>3.24</v>
      </c>
      <c r="C24">
        <f t="shared" si="0"/>
        <v>3.2400000000000005E-2</v>
      </c>
    </row>
    <row r="25" spans="1:3" x14ac:dyDescent="0.2">
      <c r="A25">
        <v>6</v>
      </c>
      <c r="B25">
        <v>3.15</v>
      </c>
      <c r="C25">
        <f t="shared" si="0"/>
        <v>3.15E-2</v>
      </c>
    </row>
    <row r="26" spans="1:3" x14ac:dyDescent="0.2">
      <c r="A26">
        <v>6.25</v>
      </c>
      <c r="B26">
        <v>3.05</v>
      </c>
      <c r="C26">
        <f t="shared" si="0"/>
        <v>3.0499999999999999E-2</v>
      </c>
    </row>
    <row r="27" spans="1:3" x14ac:dyDescent="0.2">
      <c r="A27">
        <v>6.5</v>
      </c>
      <c r="B27">
        <v>2.94</v>
      </c>
      <c r="C27">
        <f t="shared" si="0"/>
        <v>2.9399999999999999E-2</v>
      </c>
    </row>
    <row r="28" spans="1:3" x14ac:dyDescent="0.2">
      <c r="A28">
        <v>6.75</v>
      </c>
      <c r="B28">
        <v>2.81</v>
      </c>
      <c r="C28">
        <f t="shared" si="0"/>
        <v>2.81E-2</v>
      </c>
    </row>
    <row r="29" spans="1:3" x14ac:dyDescent="0.2">
      <c r="A29">
        <v>7</v>
      </c>
      <c r="B29">
        <v>2.67</v>
      </c>
      <c r="C29">
        <f t="shared" si="0"/>
        <v>2.6699999999999998E-2</v>
      </c>
    </row>
    <row r="30" spans="1:3" x14ac:dyDescent="0.2">
      <c r="A30">
        <v>7.25</v>
      </c>
      <c r="B30">
        <v>2.5</v>
      </c>
      <c r="C30">
        <f t="shared" si="0"/>
        <v>2.5000000000000001E-2</v>
      </c>
    </row>
    <row r="31" spans="1:3" x14ac:dyDescent="0.2">
      <c r="A31">
        <v>7.5</v>
      </c>
      <c r="B31">
        <v>2.31</v>
      </c>
      <c r="C31">
        <f t="shared" si="0"/>
        <v>2.3099999999999999E-2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027D-A3DA-F547-99EB-C6FEB3F96C74}">
  <dimension ref="A1:K31"/>
  <sheetViews>
    <sheetView workbookViewId="0">
      <selection activeCell="H27" sqref="H27"/>
    </sheetView>
  </sheetViews>
  <sheetFormatPr baseColWidth="10" defaultRowHeight="16" x14ac:dyDescent="0.2"/>
  <sheetData>
    <row r="1" spans="1:11" x14ac:dyDescent="0.2">
      <c r="A1" t="s">
        <v>0</v>
      </c>
      <c r="B1" t="s">
        <v>3</v>
      </c>
      <c r="C1" t="s">
        <v>3</v>
      </c>
      <c r="D1" t="s">
        <v>4</v>
      </c>
      <c r="E1" t="s">
        <v>5</v>
      </c>
      <c r="F1" t="s">
        <v>3</v>
      </c>
      <c r="G1" t="s">
        <v>6</v>
      </c>
    </row>
    <row r="2" spans="1:11" x14ac:dyDescent="0.2">
      <c r="A2">
        <v>0.25</v>
      </c>
      <c r="B2">
        <v>3.33</v>
      </c>
      <c r="C2">
        <f>B2/100</f>
        <v>3.3300000000000003E-2</v>
      </c>
      <c r="D2">
        <v>1</v>
      </c>
      <c r="E2">
        <v>6</v>
      </c>
      <c r="F2">
        <f>C5</f>
        <v>3.7100000000000001E-2</v>
      </c>
      <c r="G2">
        <f>E2/((1+K2/2)^(J2*2))</f>
        <v>5.8407093384731459</v>
      </c>
      <c r="I2">
        <v>0.25</v>
      </c>
      <c r="J2">
        <f>D2-$I$2</f>
        <v>0.75</v>
      </c>
      <c r="K2">
        <f>C4</f>
        <v>3.6200000000000003E-2</v>
      </c>
    </row>
    <row r="3" spans="1:11" x14ac:dyDescent="0.2">
      <c r="A3">
        <v>0.5</v>
      </c>
      <c r="B3">
        <v>3.49</v>
      </c>
      <c r="C3">
        <f t="shared" ref="C3:C31" si="0">B3/100</f>
        <v>3.49E-2</v>
      </c>
      <c r="D3">
        <v>2</v>
      </c>
      <c r="E3">
        <v>6</v>
      </c>
      <c r="F3">
        <f>C9</f>
        <v>3.8800000000000001E-2</v>
      </c>
      <c r="G3">
        <f t="shared" ref="G3:G7" si="1">E3/((1+K3/2)^(J3*2))</f>
        <v>5.6107330352274571</v>
      </c>
      <c r="J3">
        <f t="shared" ref="J3:J8" si="2">D3-$I$2</f>
        <v>1.75</v>
      </c>
      <c r="K3">
        <f>C8</f>
        <v>3.8699999999999998E-2</v>
      </c>
    </row>
    <row r="4" spans="1:11" x14ac:dyDescent="0.2">
      <c r="A4">
        <v>0.75</v>
      </c>
      <c r="B4">
        <v>3.62</v>
      </c>
      <c r="C4">
        <f t="shared" si="0"/>
        <v>3.6200000000000003E-2</v>
      </c>
      <c r="D4">
        <v>3</v>
      </c>
      <c r="E4">
        <v>6</v>
      </c>
      <c r="F4">
        <f>C13</f>
        <v>3.8300000000000001E-2</v>
      </c>
      <c r="G4">
        <f t="shared" si="1"/>
        <v>5.4011982368651772</v>
      </c>
      <c r="J4">
        <f t="shared" si="2"/>
        <v>2.75</v>
      </c>
      <c r="K4">
        <f>C12</f>
        <v>3.8599999999999995E-2</v>
      </c>
    </row>
    <row r="5" spans="1:11" x14ac:dyDescent="0.2">
      <c r="A5">
        <v>1</v>
      </c>
      <c r="B5">
        <v>3.71</v>
      </c>
      <c r="C5">
        <f t="shared" si="0"/>
        <v>3.7100000000000001E-2</v>
      </c>
      <c r="D5">
        <v>4</v>
      </c>
      <c r="E5">
        <v>6</v>
      </c>
      <c r="F5">
        <f>C17</f>
        <v>3.6699999999999997E-2</v>
      </c>
      <c r="G5">
        <f t="shared" si="1"/>
        <v>5.2254501811716123</v>
      </c>
      <c r="J5">
        <f t="shared" si="2"/>
        <v>3.75</v>
      </c>
      <c r="K5">
        <f>C16</f>
        <v>3.7200000000000004E-2</v>
      </c>
    </row>
    <row r="6" spans="1:11" x14ac:dyDescent="0.2">
      <c r="A6">
        <v>1.25</v>
      </c>
      <c r="B6">
        <v>3.79</v>
      </c>
      <c r="C6">
        <f t="shared" si="0"/>
        <v>3.7900000000000003E-2</v>
      </c>
      <c r="D6">
        <v>5</v>
      </c>
      <c r="E6">
        <v>6</v>
      </c>
      <c r="F6">
        <f>C21</f>
        <v>3.4500000000000003E-2</v>
      </c>
      <c r="G6">
        <f t="shared" si="1"/>
        <v>5.0859436426114</v>
      </c>
      <c r="J6">
        <f t="shared" si="2"/>
        <v>4.75</v>
      </c>
      <c r="K6">
        <f>C20</f>
        <v>3.5099999999999999E-2</v>
      </c>
    </row>
    <row r="7" spans="1:11" x14ac:dyDescent="0.2">
      <c r="A7">
        <v>1.5</v>
      </c>
      <c r="B7">
        <v>3.84</v>
      </c>
      <c r="C7">
        <f t="shared" si="0"/>
        <v>3.8399999999999997E-2</v>
      </c>
      <c r="D7">
        <v>6</v>
      </c>
      <c r="E7">
        <v>6</v>
      </c>
      <c r="F7">
        <f>C25</f>
        <v>3.15E-2</v>
      </c>
      <c r="G7">
        <f t="shared" si="1"/>
        <v>4.9875878554410811</v>
      </c>
      <c r="J7">
        <f t="shared" si="2"/>
        <v>5.75</v>
      </c>
      <c r="K7">
        <f>C24</f>
        <v>3.2400000000000005E-2</v>
      </c>
    </row>
    <row r="8" spans="1:11" x14ac:dyDescent="0.2">
      <c r="A8">
        <v>1.75</v>
      </c>
      <c r="B8">
        <v>3.87</v>
      </c>
      <c r="C8">
        <f t="shared" si="0"/>
        <v>3.8699999999999998E-2</v>
      </c>
      <c r="D8">
        <v>7</v>
      </c>
      <c r="E8">
        <v>106</v>
      </c>
      <c r="F8">
        <f>C29</f>
        <v>2.6699999999999998E-2</v>
      </c>
      <c r="G8">
        <f>E8/((1+K8/2)^(J8*2))</f>
        <v>87.801993927973868</v>
      </c>
      <c r="J8">
        <f t="shared" si="2"/>
        <v>6.75</v>
      </c>
      <c r="K8">
        <f>C28</f>
        <v>2.81E-2</v>
      </c>
    </row>
    <row r="9" spans="1:11" x14ac:dyDescent="0.2">
      <c r="A9">
        <v>2</v>
      </c>
      <c r="B9">
        <v>3.88</v>
      </c>
      <c r="C9">
        <f t="shared" si="0"/>
        <v>3.8800000000000001E-2</v>
      </c>
    </row>
    <row r="10" spans="1:11" x14ac:dyDescent="0.2">
      <c r="A10">
        <v>2.25</v>
      </c>
      <c r="B10">
        <v>3.89</v>
      </c>
      <c r="C10">
        <f t="shared" si="0"/>
        <v>3.8900000000000004E-2</v>
      </c>
    </row>
    <row r="11" spans="1:11" x14ac:dyDescent="0.2">
      <c r="A11">
        <v>2.5</v>
      </c>
      <c r="B11">
        <v>3.88</v>
      </c>
      <c r="C11">
        <f t="shared" si="0"/>
        <v>3.8800000000000001E-2</v>
      </c>
    </row>
    <row r="12" spans="1:11" x14ac:dyDescent="0.2">
      <c r="A12">
        <v>2.75</v>
      </c>
      <c r="B12">
        <v>3.86</v>
      </c>
      <c r="C12">
        <f t="shared" si="0"/>
        <v>3.8599999999999995E-2</v>
      </c>
    </row>
    <row r="13" spans="1:11" x14ac:dyDescent="0.2">
      <c r="A13">
        <v>3</v>
      </c>
      <c r="B13">
        <v>3.83</v>
      </c>
      <c r="C13">
        <f t="shared" si="0"/>
        <v>3.8300000000000001E-2</v>
      </c>
    </row>
    <row r="14" spans="1:11" x14ac:dyDescent="0.2">
      <c r="A14">
        <v>3.25</v>
      </c>
      <c r="B14">
        <v>3.8</v>
      </c>
      <c r="C14">
        <f t="shared" si="0"/>
        <v>3.7999999999999999E-2</v>
      </c>
      <c r="G14" s="1">
        <f>SUM(G2:G13)</f>
        <v>119.95361621776374</v>
      </c>
    </row>
    <row r="15" spans="1:11" x14ac:dyDescent="0.2">
      <c r="A15">
        <v>3.5</v>
      </c>
      <c r="B15">
        <v>3.76</v>
      </c>
      <c r="C15">
        <f t="shared" si="0"/>
        <v>3.7599999999999995E-2</v>
      </c>
    </row>
    <row r="16" spans="1:11" x14ac:dyDescent="0.2">
      <c r="A16">
        <v>3.75</v>
      </c>
      <c r="B16">
        <v>3.72</v>
      </c>
      <c r="C16">
        <f t="shared" si="0"/>
        <v>3.7200000000000004E-2</v>
      </c>
    </row>
    <row r="17" spans="1:3" x14ac:dyDescent="0.2">
      <c r="A17">
        <v>4</v>
      </c>
      <c r="B17">
        <v>3.67</v>
      </c>
      <c r="C17">
        <f t="shared" si="0"/>
        <v>3.6699999999999997E-2</v>
      </c>
    </row>
    <row r="18" spans="1:3" x14ac:dyDescent="0.2">
      <c r="A18">
        <v>4.25</v>
      </c>
      <c r="B18">
        <v>3.62</v>
      </c>
      <c r="C18">
        <f t="shared" si="0"/>
        <v>3.6200000000000003E-2</v>
      </c>
    </row>
    <row r="19" spans="1:3" x14ac:dyDescent="0.2">
      <c r="A19">
        <v>4.5</v>
      </c>
      <c r="B19">
        <v>3.57</v>
      </c>
      <c r="C19">
        <f t="shared" si="0"/>
        <v>3.5699999999999996E-2</v>
      </c>
    </row>
    <row r="20" spans="1:3" x14ac:dyDescent="0.2">
      <c r="A20">
        <v>4.75</v>
      </c>
      <c r="B20">
        <v>3.51</v>
      </c>
      <c r="C20">
        <f t="shared" si="0"/>
        <v>3.5099999999999999E-2</v>
      </c>
    </row>
    <row r="21" spans="1:3" x14ac:dyDescent="0.2">
      <c r="A21">
        <v>5</v>
      </c>
      <c r="B21">
        <v>3.45</v>
      </c>
      <c r="C21">
        <f t="shared" si="0"/>
        <v>3.4500000000000003E-2</v>
      </c>
    </row>
    <row r="22" spans="1:3" x14ac:dyDescent="0.2">
      <c r="A22">
        <v>5.25</v>
      </c>
      <c r="B22">
        <v>3.39</v>
      </c>
      <c r="C22">
        <f t="shared" si="0"/>
        <v>3.39E-2</v>
      </c>
    </row>
    <row r="23" spans="1:3" x14ac:dyDescent="0.2">
      <c r="A23">
        <v>5.5</v>
      </c>
      <c r="B23">
        <v>3.31</v>
      </c>
      <c r="C23">
        <f t="shared" si="0"/>
        <v>3.3099999999999997E-2</v>
      </c>
    </row>
    <row r="24" spans="1:3" x14ac:dyDescent="0.2">
      <c r="A24">
        <v>5.75</v>
      </c>
      <c r="B24">
        <v>3.24</v>
      </c>
      <c r="C24">
        <f t="shared" si="0"/>
        <v>3.2400000000000005E-2</v>
      </c>
    </row>
    <row r="25" spans="1:3" x14ac:dyDescent="0.2">
      <c r="A25">
        <v>6</v>
      </c>
      <c r="B25">
        <v>3.15</v>
      </c>
      <c r="C25">
        <f t="shared" si="0"/>
        <v>3.15E-2</v>
      </c>
    </row>
    <row r="26" spans="1:3" x14ac:dyDescent="0.2">
      <c r="A26">
        <v>6.25</v>
      </c>
      <c r="B26">
        <v>3.05</v>
      </c>
      <c r="C26">
        <f t="shared" si="0"/>
        <v>3.0499999999999999E-2</v>
      </c>
    </row>
    <row r="27" spans="1:3" x14ac:dyDescent="0.2">
      <c r="A27">
        <v>6.5</v>
      </c>
      <c r="B27">
        <v>2.94</v>
      </c>
      <c r="C27">
        <f t="shared" si="0"/>
        <v>2.9399999999999999E-2</v>
      </c>
    </row>
    <row r="28" spans="1:3" x14ac:dyDescent="0.2">
      <c r="A28">
        <v>6.75</v>
      </c>
      <c r="B28">
        <v>2.81</v>
      </c>
      <c r="C28">
        <f t="shared" si="0"/>
        <v>2.81E-2</v>
      </c>
    </row>
    <row r="29" spans="1:3" x14ac:dyDescent="0.2">
      <c r="A29">
        <v>7</v>
      </c>
      <c r="B29">
        <v>2.67</v>
      </c>
      <c r="C29">
        <f t="shared" si="0"/>
        <v>2.6699999999999998E-2</v>
      </c>
    </row>
    <row r="30" spans="1:3" x14ac:dyDescent="0.2">
      <c r="A30">
        <v>7.25</v>
      </c>
      <c r="B30">
        <v>2.5</v>
      </c>
      <c r="C30">
        <f t="shared" si="0"/>
        <v>2.5000000000000001E-2</v>
      </c>
    </row>
    <row r="31" spans="1:3" x14ac:dyDescent="0.2">
      <c r="A31">
        <v>7.5</v>
      </c>
      <c r="B31">
        <v>2.31</v>
      </c>
      <c r="C31">
        <f t="shared" si="0"/>
        <v>2.3099999999999999E-2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96D-385B-7142-806A-92ED721733D4}">
  <dimension ref="A1:G31"/>
  <sheetViews>
    <sheetView workbookViewId="0">
      <selection activeCell="I36" sqref="I36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3</v>
      </c>
      <c r="D1" t="s">
        <v>4</v>
      </c>
      <c r="E1" t="s">
        <v>5</v>
      </c>
      <c r="F1" t="s">
        <v>3</v>
      </c>
      <c r="G1" t="s">
        <v>6</v>
      </c>
    </row>
    <row r="2" spans="1:7" x14ac:dyDescent="0.2">
      <c r="A2">
        <v>0.25</v>
      </c>
      <c r="B2">
        <v>3.33</v>
      </c>
      <c r="C2">
        <f>B2/100</f>
        <v>3.3300000000000003E-2</v>
      </c>
      <c r="D2">
        <v>1</v>
      </c>
      <c r="E2">
        <v>0.75</v>
      </c>
      <c r="F2">
        <f>C2</f>
        <v>3.3300000000000003E-2</v>
      </c>
      <c r="G2">
        <f>E2/((1+F2/2)^(D2/2))</f>
        <v>0.7438331525387385</v>
      </c>
    </row>
    <row r="3" spans="1:7" x14ac:dyDescent="0.2">
      <c r="A3">
        <v>0.5</v>
      </c>
      <c r="B3">
        <v>3.49</v>
      </c>
      <c r="C3">
        <f t="shared" ref="C3:C31" si="0">B3/100</f>
        <v>3.49E-2</v>
      </c>
      <c r="D3">
        <v>2</v>
      </c>
      <c r="E3">
        <v>0.75</v>
      </c>
      <c r="F3">
        <f>C3</f>
        <v>3.49E-2</v>
      </c>
      <c r="G3">
        <f t="shared" ref="G3:G13" si="1">E3/((1+F3/2)^(D3/2))</f>
        <v>0.73713696004717677</v>
      </c>
    </row>
    <row r="4" spans="1:7" x14ac:dyDescent="0.2">
      <c r="A4">
        <v>0.75</v>
      </c>
      <c r="B4">
        <v>3.62</v>
      </c>
      <c r="C4">
        <f t="shared" si="0"/>
        <v>3.6200000000000003E-2</v>
      </c>
      <c r="D4">
        <v>3</v>
      </c>
      <c r="E4">
        <v>0.75</v>
      </c>
      <c r="F4">
        <f t="shared" ref="F4:F12" si="2">C4</f>
        <v>3.6200000000000003E-2</v>
      </c>
      <c r="G4">
        <f t="shared" si="1"/>
        <v>0.73008866730914324</v>
      </c>
    </row>
    <row r="5" spans="1:7" x14ac:dyDescent="0.2">
      <c r="A5">
        <v>1</v>
      </c>
      <c r="B5">
        <v>3.71</v>
      </c>
      <c r="C5">
        <f t="shared" si="0"/>
        <v>3.7100000000000001E-2</v>
      </c>
      <c r="D5">
        <v>4</v>
      </c>
      <c r="E5">
        <v>0.75</v>
      </c>
      <c r="F5">
        <f t="shared" si="2"/>
        <v>3.7100000000000001E-2</v>
      </c>
      <c r="G5">
        <f t="shared" si="1"/>
        <v>0.72293051567084299</v>
      </c>
    </row>
    <row r="6" spans="1:7" x14ac:dyDescent="0.2">
      <c r="A6">
        <v>1.25</v>
      </c>
      <c r="B6">
        <v>3.79</v>
      </c>
      <c r="C6">
        <f t="shared" si="0"/>
        <v>3.7900000000000003E-2</v>
      </c>
      <c r="D6">
        <v>5</v>
      </c>
      <c r="E6">
        <v>1</v>
      </c>
      <c r="F6">
        <f t="shared" si="2"/>
        <v>3.7900000000000003E-2</v>
      </c>
      <c r="G6">
        <f t="shared" si="1"/>
        <v>0.95415255128697185</v>
      </c>
    </row>
    <row r="7" spans="1:7" x14ac:dyDescent="0.2">
      <c r="A7">
        <v>1.5</v>
      </c>
      <c r="B7">
        <v>3.84</v>
      </c>
      <c r="C7">
        <f t="shared" si="0"/>
        <v>3.8399999999999997E-2</v>
      </c>
      <c r="D7">
        <v>6</v>
      </c>
      <c r="E7">
        <v>1</v>
      </c>
      <c r="F7">
        <f t="shared" si="2"/>
        <v>3.8399999999999997E-2</v>
      </c>
      <c r="G7">
        <f t="shared" si="1"/>
        <v>0.94454304612758566</v>
      </c>
    </row>
    <row r="8" spans="1:7" x14ac:dyDescent="0.2">
      <c r="A8">
        <v>1.75</v>
      </c>
      <c r="B8">
        <v>3.87</v>
      </c>
      <c r="C8">
        <f t="shared" si="0"/>
        <v>3.8699999999999998E-2</v>
      </c>
      <c r="D8">
        <v>7</v>
      </c>
      <c r="E8">
        <v>1</v>
      </c>
      <c r="F8">
        <f t="shared" si="2"/>
        <v>3.8699999999999998E-2</v>
      </c>
      <c r="G8">
        <f t="shared" si="1"/>
        <v>0.93512217253790964</v>
      </c>
    </row>
    <row r="9" spans="1:7" x14ac:dyDescent="0.2">
      <c r="A9">
        <v>2</v>
      </c>
      <c r="B9">
        <v>3.88</v>
      </c>
      <c r="C9">
        <f t="shared" si="0"/>
        <v>3.8800000000000001E-2</v>
      </c>
      <c r="D9">
        <v>8</v>
      </c>
      <c r="E9">
        <v>1</v>
      </c>
      <c r="F9">
        <f t="shared" si="2"/>
        <v>3.8800000000000001E-2</v>
      </c>
      <c r="G9">
        <f t="shared" si="1"/>
        <v>0.92602238043177665</v>
      </c>
    </row>
    <row r="10" spans="1:7" x14ac:dyDescent="0.2">
      <c r="A10">
        <v>2.25</v>
      </c>
      <c r="B10">
        <v>3.89</v>
      </c>
      <c r="C10">
        <f t="shared" si="0"/>
        <v>3.8900000000000004E-2</v>
      </c>
      <c r="D10">
        <v>9</v>
      </c>
      <c r="E10">
        <v>1.25</v>
      </c>
      <c r="F10">
        <f t="shared" si="2"/>
        <v>3.8900000000000004E-2</v>
      </c>
      <c r="G10">
        <f t="shared" si="1"/>
        <v>1.1462077143702105</v>
      </c>
    </row>
    <row r="11" spans="1:7" x14ac:dyDescent="0.2">
      <c r="A11">
        <v>2.5</v>
      </c>
      <c r="B11">
        <v>3.88</v>
      </c>
      <c r="C11">
        <f t="shared" si="0"/>
        <v>3.8800000000000001E-2</v>
      </c>
      <c r="D11">
        <v>10</v>
      </c>
      <c r="E11">
        <v>1.25</v>
      </c>
      <c r="F11">
        <f t="shared" si="2"/>
        <v>3.8800000000000001E-2</v>
      </c>
      <c r="G11">
        <f t="shared" si="1"/>
        <v>1.135499289326781</v>
      </c>
    </row>
    <row r="12" spans="1:7" x14ac:dyDescent="0.2">
      <c r="A12">
        <v>2.75</v>
      </c>
      <c r="B12">
        <v>3.86</v>
      </c>
      <c r="C12">
        <f t="shared" si="0"/>
        <v>3.8599999999999995E-2</v>
      </c>
      <c r="D12">
        <v>11</v>
      </c>
      <c r="E12">
        <v>1.25</v>
      </c>
      <c r="F12">
        <f t="shared" si="2"/>
        <v>3.8599999999999995E-2</v>
      </c>
      <c r="G12">
        <f t="shared" si="1"/>
        <v>1.1252496326802452</v>
      </c>
    </row>
    <row r="13" spans="1:7" x14ac:dyDescent="0.2">
      <c r="A13">
        <v>3</v>
      </c>
      <c r="B13">
        <v>3.83</v>
      </c>
      <c r="C13">
        <f t="shared" si="0"/>
        <v>3.8300000000000001E-2</v>
      </c>
      <c r="D13">
        <v>12</v>
      </c>
      <c r="E13">
        <v>101.25</v>
      </c>
      <c r="F13">
        <f>C13</f>
        <v>3.8300000000000001E-2</v>
      </c>
      <c r="G13">
        <f t="shared" si="1"/>
        <v>90.357952022956056</v>
      </c>
    </row>
    <row r="14" spans="1:7" x14ac:dyDescent="0.2">
      <c r="A14">
        <v>3.25</v>
      </c>
      <c r="B14">
        <v>3.8</v>
      </c>
      <c r="C14">
        <f t="shared" si="0"/>
        <v>3.7999999999999999E-2</v>
      </c>
      <c r="G14" s="1">
        <f>SUM(G2:G13)</f>
        <v>100.45873810528343</v>
      </c>
    </row>
    <row r="15" spans="1:7" x14ac:dyDescent="0.2">
      <c r="A15">
        <v>3.5</v>
      </c>
      <c r="B15">
        <v>3.76</v>
      </c>
      <c r="C15">
        <f t="shared" si="0"/>
        <v>3.7599999999999995E-2</v>
      </c>
    </row>
    <row r="16" spans="1:7" x14ac:dyDescent="0.2">
      <c r="A16">
        <v>3.75</v>
      </c>
      <c r="B16">
        <v>3.72</v>
      </c>
      <c r="C16">
        <f t="shared" si="0"/>
        <v>3.7200000000000004E-2</v>
      </c>
    </row>
    <row r="17" spans="1:3" x14ac:dyDescent="0.2">
      <c r="A17">
        <v>4</v>
      </c>
      <c r="B17">
        <v>3.67</v>
      </c>
      <c r="C17">
        <f t="shared" si="0"/>
        <v>3.6699999999999997E-2</v>
      </c>
    </row>
    <row r="18" spans="1:3" x14ac:dyDescent="0.2">
      <c r="A18">
        <v>4.25</v>
      </c>
      <c r="B18">
        <v>3.62</v>
      </c>
      <c r="C18">
        <f t="shared" si="0"/>
        <v>3.6200000000000003E-2</v>
      </c>
    </row>
    <row r="19" spans="1:3" x14ac:dyDescent="0.2">
      <c r="A19">
        <v>4.5</v>
      </c>
      <c r="B19">
        <v>3.57</v>
      </c>
      <c r="C19">
        <f t="shared" si="0"/>
        <v>3.5699999999999996E-2</v>
      </c>
    </row>
    <row r="20" spans="1:3" x14ac:dyDescent="0.2">
      <c r="A20">
        <v>4.75</v>
      </c>
      <c r="B20">
        <v>3.51</v>
      </c>
      <c r="C20">
        <f t="shared" si="0"/>
        <v>3.5099999999999999E-2</v>
      </c>
    </row>
    <row r="21" spans="1:3" x14ac:dyDescent="0.2">
      <c r="A21">
        <v>5</v>
      </c>
      <c r="B21">
        <v>3.45</v>
      </c>
      <c r="C21">
        <f t="shared" si="0"/>
        <v>3.4500000000000003E-2</v>
      </c>
    </row>
    <row r="22" spans="1:3" x14ac:dyDescent="0.2">
      <c r="A22">
        <v>5.25</v>
      </c>
      <c r="B22">
        <v>3.39</v>
      </c>
      <c r="C22">
        <f t="shared" si="0"/>
        <v>3.39E-2</v>
      </c>
    </row>
    <row r="23" spans="1:3" x14ac:dyDescent="0.2">
      <c r="A23">
        <v>5.5</v>
      </c>
      <c r="B23">
        <v>3.31</v>
      </c>
      <c r="C23">
        <f t="shared" si="0"/>
        <v>3.3099999999999997E-2</v>
      </c>
    </row>
    <row r="24" spans="1:3" x14ac:dyDescent="0.2">
      <c r="A24">
        <v>5.75</v>
      </c>
      <c r="B24">
        <v>3.24</v>
      </c>
      <c r="C24">
        <f t="shared" si="0"/>
        <v>3.2400000000000005E-2</v>
      </c>
    </row>
    <row r="25" spans="1:3" x14ac:dyDescent="0.2">
      <c r="A25">
        <v>6</v>
      </c>
      <c r="B25">
        <v>3.15</v>
      </c>
      <c r="C25">
        <f t="shared" si="0"/>
        <v>3.15E-2</v>
      </c>
    </row>
    <row r="26" spans="1:3" x14ac:dyDescent="0.2">
      <c r="A26">
        <v>6.25</v>
      </c>
      <c r="B26">
        <v>3.05</v>
      </c>
      <c r="C26">
        <f t="shared" si="0"/>
        <v>3.0499999999999999E-2</v>
      </c>
    </row>
    <row r="27" spans="1:3" x14ac:dyDescent="0.2">
      <c r="A27">
        <v>6.5</v>
      </c>
      <c r="B27">
        <v>2.94</v>
      </c>
      <c r="C27">
        <f t="shared" si="0"/>
        <v>2.9399999999999999E-2</v>
      </c>
    </row>
    <row r="28" spans="1:3" x14ac:dyDescent="0.2">
      <c r="A28">
        <v>6.75</v>
      </c>
      <c r="B28">
        <v>2.81</v>
      </c>
      <c r="C28">
        <f t="shared" si="0"/>
        <v>2.81E-2</v>
      </c>
    </row>
    <row r="29" spans="1:3" x14ac:dyDescent="0.2">
      <c r="A29">
        <v>7</v>
      </c>
      <c r="B29">
        <v>2.67</v>
      </c>
      <c r="C29">
        <f t="shared" si="0"/>
        <v>2.6699999999999998E-2</v>
      </c>
    </row>
    <row r="30" spans="1:3" x14ac:dyDescent="0.2">
      <c r="A30">
        <v>7.25</v>
      </c>
      <c r="B30">
        <v>2.5</v>
      </c>
      <c r="C30">
        <f t="shared" si="0"/>
        <v>2.5000000000000001E-2</v>
      </c>
    </row>
    <row r="31" spans="1:3" x14ac:dyDescent="0.2">
      <c r="A31">
        <v>7.5</v>
      </c>
      <c r="B31">
        <v>2.31</v>
      </c>
      <c r="C31">
        <f t="shared" si="0"/>
        <v>2.3099999999999999E-2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Q1 (a1)</vt:lpstr>
      <vt:lpstr>Q1 (a2)</vt:lpstr>
      <vt:lpstr>Q1 (b1)</vt:lpstr>
      <vt:lpstr>Q1 (b2)</vt:lpstr>
      <vt:lpstr>Q2 (a)</vt:lpstr>
      <vt:lpstr>Q2 (b)</vt:lpstr>
      <vt:lpstr>Q2 (3 old)</vt:lpstr>
      <vt:lpstr>Q2 (c)</vt:lpstr>
      <vt:lpstr>Q2 (d)</vt:lpstr>
      <vt:lpstr>Q5 (a)</vt:lpstr>
      <vt:lpstr>Q5 (b,c)</vt:lpstr>
      <vt:lpstr>Q5 (1)</vt:lpstr>
      <vt:lpstr>Q5 (d)</vt:lpstr>
      <vt:lpstr>'Q5 (b,c)'!a</vt:lpstr>
      <vt:lpstr>'Q5 (a)'!federal</vt:lpstr>
      <vt:lpstr>'Q5 (b,c)'!n</vt:lpstr>
      <vt:lpstr>'Q5 (b,c)'!x</vt:lpstr>
      <vt:lpstr>'Q5 (b,c)'!y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2023-02-11T18:22:52Z</dcterms:created>
  <dcterms:modified xsi:type="dcterms:W3CDTF">2023-02-12T02:29:35Z</dcterms:modified>
</cp:coreProperties>
</file>