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hris\Documents\Manuel\PUCP\Curso Contabilidad y Finanzas\Evaluaciones\Prácticas calificadas\PC5\"/>
    </mc:Choice>
  </mc:AlternateContent>
  <xr:revisionPtr revIDLastSave="0" documentId="13_ncr:1_{11D48FD6-D391-457B-8932-180EAB9DE77C}" xr6:coauthVersionLast="47" xr6:coauthVersionMax="47" xr10:uidLastSave="{00000000-0000-0000-0000-000000000000}"/>
  <bookViews>
    <workbookView xWindow="-108" yWindow="-108" windowWidth="23256" windowHeight="12456" activeTab="1" xr2:uid="{4B573A61-06F9-44BF-9B1D-7E7E2896D619}"/>
  </bookViews>
  <sheets>
    <sheet name="Pregunta 1" sheetId="1" r:id="rId1"/>
    <sheet name="Pregunta 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40" i="2" l="1"/>
  <c r="AA13" i="1"/>
  <c r="J34" i="2"/>
  <c r="J37" i="2" s="1"/>
  <c r="K38" i="2" s="1"/>
  <c r="J27" i="2"/>
  <c r="J30" i="2" s="1"/>
  <c r="K31" i="2" s="1"/>
  <c r="K24" i="2"/>
  <c r="J23" i="2"/>
  <c r="K21" i="2"/>
  <c r="J20" i="2"/>
  <c r="AC8" i="2"/>
  <c r="AB8" i="2"/>
  <c r="AC13" i="2"/>
  <c r="AB13" i="2"/>
  <c r="AA13" i="2"/>
  <c r="AC11" i="2"/>
  <c r="AC10" i="2"/>
  <c r="AC9" i="2"/>
  <c r="AD9" i="2" s="1"/>
  <c r="AC12" i="2"/>
  <c r="AC7" i="2"/>
  <c r="AC6" i="2"/>
  <c r="AC5" i="2"/>
  <c r="AD5" i="2" s="1"/>
  <c r="AB12" i="2"/>
  <c r="AD12" i="2" s="1"/>
  <c r="AB7" i="2"/>
  <c r="AD6" i="2"/>
  <c r="AB6" i="2"/>
  <c r="AD10" i="2"/>
  <c r="AD11" i="2"/>
  <c r="AB5" i="2"/>
  <c r="AD4" i="2"/>
  <c r="AB4" i="2"/>
  <c r="AC4" i="2"/>
  <c r="AA4" i="2"/>
  <c r="W13" i="2"/>
  <c r="T13" i="2"/>
  <c r="H13" i="2"/>
  <c r="G13" i="2"/>
  <c r="F13" i="2"/>
  <c r="E13" i="2"/>
  <c r="D13" i="2"/>
  <c r="Q12" i="2"/>
  <c r="P12" i="2"/>
  <c r="M12" i="2"/>
  <c r="K12" i="2"/>
  <c r="U12" i="2" s="1"/>
  <c r="I12" i="2"/>
  <c r="Q11" i="2"/>
  <c r="P11" i="2"/>
  <c r="M11" i="2"/>
  <c r="J11" i="2"/>
  <c r="K11" i="2" s="1"/>
  <c r="U11" i="2" s="1"/>
  <c r="X11" i="2" s="1"/>
  <c r="I11" i="2"/>
  <c r="Y11" i="2" s="1"/>
  <c r="Q10" i="2"/>
  <c r="P10" i="2"/>
  <c r="M10" i="2"/>
  <c r="I10" i="2"/>
  <c r="J10" i="2" s="1"/>
  <c r="K10" i="2" s="1"/>
  <c r="U10" i="2" s="1"/>
  <c r="X10" i="2" s="1"/>
  <c r="Q9" i="2"/>
  <c r="P9" i="2"/>
  <c r="M9" i="2"/>
  <c r="J9" i="2"/>
  <c r="K9" i="2" s="1"/>
  <c r="U9" i="2" s="1"/>
  <c r="X9" i="2" s="1"/>
  <c r="I9" i="2"/>
  <c r="M8" i="2"/>
  <c r="I8" i="2"/>
  <c r="J8" i="2" s="1"/>
  <c r="K8" i="2" s="1"/>
  <c r="U8" i="2" s="1"/>
  <c r="X8" i="2" s="1"/>
  <c r="Y8" i="2" s="1"/>
  <c r="Q7" i="2"/>
  <c r="P7" i="2"/>
  <c r="M7" i="2"/>
  <c r="J7" i="2"/>
  <c r="K7" i="2" s="1"/>
  <c r="U7" i="2" s="1"/>
  <c r="X7" i="2" s="1"/>
  <c r="I7" i="2"/>
  <c r="Y7" i="2" s="1"/>
  <c r="Q6" i="2"/>
  <c r="P6" i="2"/>
  <c r="M6" i="2"/>
  <c r="I6" i="2"/>
  <c r="Q5" i="2"/>
  <c r="P5" i="2"/>
  <c r="M5" i="2"/>
  <c r="I5" i="2"/>
  <c r="Q4" i="2"/>
  <c r="P4" i="2"/>
  <c r="M4" i="2"/>
  <c r="I4" i="2"/>
  <c r="I13" i="2" s="1"/>
  <c r="V12" i="1"/>
  <c r="Y5" i="1"/>
  <c r="Y6" i="1"/>
  <c r="Y7" i="1"/>
  <c r="Y8" i="1"/>
  <c r="Y9" i="1"/>
  <c r="Y10" i="1"/>
  <c r="Y11" i="1"/>
  <c r="Y4" i="1"/>
  <c r="D13" i="1"/>
  <c r="U13" i="1"/>
  <c r="V13" i="1"/>
  <c r="W13" i="1"/>
  <c r="T13" i="1"/>
  <c r="F13" i="1"/>
  <c r="G13" i="1"/>
  <c r="H13" i="1"/>
  <c r="I13" i="1"/>
  <c r="E13" i="1"/>
  <c r="K5" i="1"/>
  <c r="K6" i="1"/>
  <c r="K7" i="1"/>
  <c r="K8" i="1"/>
  <c r="K9" i="1"/>
  <c r="K10" i="1"/>
  <c r="K11" i="1"/>
  <c r="K12" i="1"/>
  <c r="K4" i="1"/>
  <c r="Q12" i="1"/>
  <c r="P12" i="1"/>
  <c r="M12" i="1"/>
  <c r="Q11" i="1"/>
  <c r="P11" i="1"/>
  <c r="M11" i="1"/>
  <c r="I11" i="1"/>
  <c r="J11" i="1" s="1"/>
  <c r="Q10" i="1"/>
  <c r="P10" i="1"/>
  <c r="M10" i="1"/>
  <c r="I10" i="1"/>
  <c r="Q9" i="1"/>
  <c r="P9" i="1"/>
  <c r="M9" i="1"/>
  <c r="J9" i="1"/>
  <c r="I9" i="1"/>
  <c r="I12" i="1"/>
  <c r="P4" i="1"/>
  <c r="P5" i="1"/>
  <c r="P6" i="1"/>
  <c r="P7" i="1"/>
  <c r="Q4" i="1"/>
  <c r="Q5" i="1"/>
  <c r="Q6" i="1"/>
  <c r="Q7" i="1"/>
  <c r="M8" i="1"/>
  <c r="I8" i="1"/>
  <c r="M6" i="1"/>
  <c r="M7" i="1"/>
  <c r="M5" i="1"/>
  <c r="I5" i="1"/>
  <c r="J5" i="1" s="1"/>
  <c r="U5" i="1" s="1"/>
  <c r="I6" i="1"/>
  <c r="J6" i="1" s="1"/>
  <c r="I7" i="1"/>
  <c r="I4" i="1"/>
  <c r="M4" i="1"/>
  <c r="K35" i="2" l="1"/>
  <c r="K28" i="2"/>
  <c r="AD8" i="2"/>
  <c r="AD13" i="2" s="1"/>
  <c r="AD7" i="2"/>
  <c r="V12" i="2"/>
  <c r="V13" i="2" s="1"/>
  <c r="Y9" i="2"/>
  <c r="J5" i="2"/>
  <c r="K5" i="2" s="1"/>
  <c r="U5" i="2" s="1"/>
  <c r="X5" i="2" s="1"/>
  <c r="Y5" i="2" s="1"/>
  <c r="J6" i="2"/>
  <c r="K6" i="2" s="1"/>
  <c r="U6" i="2" s="1"/>
  <c r="X6" i="2" s="1"/>
  <c r="Y6" i="2" s="1"/>
  <c r="J4" i="2"/>
  <c r="K4" i="2" s="1"/>
  <c r="U4" i="2" s="1"/>
  <c r="Y10" i="2"/>
  <c r="U6" i="1"/>
  <c r="X6" i="1" s="1"/>
  <c r="U11" i="1"/>
  <c r="X11" i="1" s="1"/>
  <c r="U10" i="1"/>
  <c r="X10" i="1" s="1"/>
  <c r="J10" i="1"/>
  <c r="U9" i="1"/>
  <c r="X9" i="1" s="1"/>
  <c r="X5" i="1"/>
  <c r="J8" i="1"/>
  <c r="U8" i="1" s="1"/>
  <c r="X8" i="1" s="1"/>
  <c r="J7" i="1"/>
  <c r="U7" i="1" s="1"/>
  <c r="X7" i="1" s="1"/>
  <c r="J4" i="1"/>
  <c r="U4" i="1" s="1"/>
  <c r="X12" i="2" l="1"/>
  <c r="Y12" i="2" s="1"/>
  <c r="U13" i="2"/>
  <c r="X4" i="2"/>
  <c r="U12" i="1"/>
  <c r="X12" i="1" s="1"/>
  <c r="X4" i="1"/>
  <c r="X13" i="2" l="1"/>
  <c r="Y4" i="2"/>
  <c r="Y13" i="2" s="1"/>
  <c r="X13" i="1"/>
  <c r="Y12" i="1"/>
  <c r="Y13" i="1" s="1"/>
</calcChain>
</file>

<file path=xl/sharedStrings.xml><?xml version="1.0" encoding="utf-8"?>
<sst xmlns="http://schemas.openxmlformats.org/spreadsheetml/2006/main" count="183" uniqueCount="67">
  <si>
    <t>Código</t>
  </si>
  <si>
    <t>Cuenta
 Contable</t>
  </si>
  <si>
    <t>Detalle
del activo</t>
  </si>
  <si>
    <t>Saldo
inicial</t>
  </si>
  <si>
    <t>Adquisiciones</t>
  </si>
  <si>
    <t>Mejoras</t>
  </si>
  <si>
    <t>Retiros</t>
  </si>
  <si>
    <t>Otros ajustes</t>
  </si>
  <si>
    <t>Saldo
final</t>
  </si>
  <si>
    <t>Fecha de
adquisición</t>
  </si>
  <si>
    <t>Fecha de inicio
de depreciación</t>
  </si>
  <si>
    <t>% de
Depreciación</t>
  </si>
  <si>
    <t>Depreciación
acumulada
inicial</t>
  </si>
  <si>
    <t>Depreciación
del ejercicio</t>
  </si>
  <si>
    <t>Depreciación
de bajas</t>
  </si>
  <si>
    <t>Depreciacion
de otros ajustes</t>
  </si>
  <si>
    <t>Depreciación
acumulada
final</t>
  </si>
  <si>
    <t>Saldo
neto</t>
  </si>
  <si>
    <t>001</t>
  </si>
  <si>
    <t>Valor
residual</t>
  </si>
  <si>
    <t>Saldo
depreciable</t>
  </si>
  <si>
    <t>-</t>
  </si>
  <si>
    <t>S/</t>
  </si>
  <si>
    <t>002</t>
  </si>
  <si>
    <t xml:space="preserve">Estantes de maderas </t>
  </si>
  <si>
    <t xml:space="preserve">Repisas de melamina </t>
  </si>
  <si>
    <t xml:space="preserve">Mostradores de metal y vidrio </t>
  </si>
  <si>
    <t>003</t>
  </si>
  <si>
    <t>004</t>
  </si>
  <si>
    <t>005</t>
  </si>
  <si>
    <t>Furgoneta</t>
  </si>
  <si>
    <t>Fecha de
recepción</t>
  </si>
  <si>
    <t>Base</t>
  </si>
  <si>
    <t>Vida útil
años</t>
  </si>
  <si>
    <t>Vida útil
total</t>
  </si>
  <si>
    <t>Meses</t>
  </si>
  <si>
    <t>KMs</t>
  </si>
  <si>
    <t>Equipos de refrigeración</t>
  </si>
  <si>
    <t>(Mínimo 3 dígitos)</t>
  </si>
  <si>
    <t>Implementación de instalaciones diversas</t>
  </si>
  <si>
    <t>006</t>
  </si>
  <si>
    <t>Periódo de
depreciación
2024</t>
  </si>
  <si>
    <t>007</t>
  </si>
  <si>
    <t xml:space="preserve">Congeladoras </t>
  </si>
  <si>
    <t>008</t>
  </si>
  <si>
    <t>009</t>
  </si>
  <si>
    <t xml:space="preserve">Dos cajas registradoras </t>
  </si>
  <si>
    <t xml:space="preserve">Laptop marca Lenovo </t>
  </si>
  <si>
    <t>Sugerencia</t>
  </si>
  <si>
    <t>TOTAL</t>
  </si>
  <si>
    <t>Octubre</t>
  </si>
  <si>
    <t>Noviembre</t>
  </si>
  <si>
    <t>Diciembre</t>
  </si>
  <si>
    <t>Total</t>
  </si>
  <si>
    <t>El supuesto de los importes depreciables por mes es libre.</t>
  </si>
  <si>
    <t>Depreciación del Ejercicio</t>
  </si>
  <si>
    <t>Nota: La respuesta se sustenta con un cuadro similar</t>
  </si>
  <si>
    <t>Asientos contables</t>
  </si>
  <si>
    <t>Depreciación acumulada de propiedad, plant y equipo</t>
  </si>
  <si>
    <t>Debe</t>
  </si>
  <si>
    <t>Haber</t>
  </si>
  <si>
    <t>Gastos de ventas</t>
  </si>
  <si>
    <t>Nota: Opcional incluir la base de cálculo de la Pregunta 1</t>
  </si>
  <si>
    <t>Cargas imputables a cuenta de costos</t>
  </si>
  <si>
    <t>Puntaje</t>
  </si>
  <si>
    <t>Diseño del Reporte</t>
  </si>
  <si>
    <t>Depreciación  de propiedad, planta y equipo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</si>
</sst>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5" formatCode="_-* #,##0_-;\-* #,##0_-;_-* &quot;-&quot;??_-;_-@_-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b/>
      <sz val="1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0">
    <xf numFmtId="0" fontId="0" fillId="0" borderId="0" xfId="0"/>
    <xf numFmtId="0" fontId="0" fillId="0" borderId="0" xfId="0" applyAlignment="1">
      <alignment horizontal="center"/>
    </xf>
    <xf numFmtId="165" fontId="0" fillId="0" borderId="0" xfId="0" applyNumberFormat="1"/>
    <xf numFmtId="0" fontId="0" fillId="0" borderId="1" xfId="0" applyBorder="1" applyAlignment="1">
      <alignment horizontal="center"/>
    </xf>
    <xf numFmtId="0" fontId="0" fillId="0" borderId="1" xfId="0" applyBorder="1"/>
    <xf numFmtId="165" fontId="0" fillId="0" borderId="1" xfId="1" applyNumberFormat="1" applyFont="1" applyBorder="1"/>
    <xf numFmtId="9" fontId="0" fillId="0" borderId="1" xfId="2" applyFont="1" applyBorder="1"/>
    <xf numFmtId="165" fontId="0" fillId="0" borderId="1" xfId="1" applyNumberFormat="1" applyFont="1" applyBorder="1" applyAlignment="1">
      <alignment horizontal="center"/>
    </xf>
    <xf numFmtId="165" fontId="0" fillId="4" borderId="1" xfId="1" applyNumberFormat="1" applyFont="1" applyFill="1" applyBorder="1"/>
    <xf numFmtId="0" fontId="0" fillId="0" borderId="0" xfId="0" applyFill="1" applyBorder="1" applyAlignment="1">
      <alignment horizontal="center" wrapText="1"/>
    </xf>
    <xf numFmtId="49" fontId="0" fillId="0" borderId="6" xfId="0" applyNumberFormat="1" applyBorder="1" applyAlignment="1">
      <alignment horizontal="center"/>
    </xf>
    <xf numFmtId="165" fontId="0" fillId="0" borderId="7" xfId="1" applyNumberFormat="1" applyFont="1" applyBorder="1"/>
    <xf numFmtId="49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65" fontId="0" fillId="0" borderId="9" xfId="1" applyNumberFormat="1" applyFont="1" applyBorder="1"/>
    <xf numFmtId="165" fontId="0" fillId="0" borderId="10" xfId="1" applyNumberFormat="1" applyFont="1" applyBorder="1"/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0" fontId="3" fillId="3" borderId="11" xfId="0" applyFont="1" applyFill="1" applyBorder="1" applyAlignment="1">
      <alignment horizontal="center"/>
    </xf>
    <xf numFmtId="0" fontId="3" fillId="3" borderId="12" xfId="0" applyFont="1" applyFill="1" applyBorder="1" applyAlignment="1">
      <alignment horizontal="center" wrapText="1"/>
    </xf>
    <xf numFmtId="0" fontId="3" fillId="3" borderId="13" xfId="0" applyFont="1" applyFill="1" applyBorder="1" applyAlignment="1">
      <alignment horizontal="center" wrapText="1"/>
    </xf>
    <xf numFmtId="0" fontId="3" fillId="2" borderId="12" xfId="0" applyFont="1" applyFill="1" applyBorder="1" applyAlignment="1">
      <alignment horizontal="center" wrapText="1"/>
    </xf>
    <xf numFmtId="49" fontId="0" fillId="0" borderId="3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165" fontId="0" fillId="0" borderId="4" xfId="1" applyNumberFormat="1" applyFont="1" applyBorder="1"/>
    <xf numFmtId="165" fontId="0" fillId="0" borderId="5" xfId="1" applyNumberFormat="1" applyFont="1" applyBorder="1"/>
    <xf numFmtId="9" fontId="0" fillId="0" borderId="4" xfId="2" applyFont="1" applyBorder="1"/>
    <xf numFmtId="165" fontId="0" fillId="0" borderId="4" xfId="1" applyNumberFormat="1" applyFont="1" applyBorder="1" applyAlignment="1">
      <alignment horizontal="center"/>
    </xf>
    <xf numFmtId="9" fontId="0" fillId="0" borderId="9" xfId="2" applyFont="1" applyBorder="1"/>
    <xf numFmtId="165" fontId="0" fillId="0" borderId="9" xfId="1" applyNumberFormat="1" applyFont="1" applyBorder="1" applyAlignment="1">
      <alignment horizontal="center"/>
    </xf>
    <xf numFmtId="0" fontId="0" fillId="0" borderId="0" xfId="0" applyBorder="1"/>
    <xf numFmtId="0" fontId="3" fillId="0" borderId="0" xfId="0" applyFont="1" applyFill="1" applyBorder="1" applyAlignment="1">
      <alignment horizontal="center"/>
    </xf>
    <xf numFmtId="165" fontId="3" fillId="0" borderId="0" xfId="1" applyNumberFormat="1" applyFont="1" applyBorder="1"/>
    <xf numFmtId="0" fontId="0" fillId="0" borderId="5" xfId="0" applyBorder="1"/>
    <xf numFmtId="0" fontId="0" fillId="0" borderId="7" xfId="0" applyBorder="1"/>
    <xf numFmtId="0" fontId="0" fillId="0" borderId="10" xfId="0" applyBorder="1"/>
    <xf numFmtId="165" fontId="0" fillId="0" borderId="3" xfId="1" applyNumberFormat="1" applyFont="1" applyBorder="1"/>
    <xf numFmtId="165" fontId="0" fillId="0" borderId="6" xfId="1" applyNumberFormat="1" applyFont="1" applyBorder="1"/>
    <xf numFmtId="165" fontId="0" fillId="0" borderId="8" xfId="1" applyNumberFormat="1" applyFont="1" applyBorder="1"/>
    <xf numFmtId="0" fontId="2" fillId="0" borderId="0" xfId="0" applyFont="1" applyFill="1"/>
    <xf numFmtId="0" fontId="2" fillId="0" borderId="0" xfId="0" applyFont="1" applyFill="1" applyAlignment="1">
      <alignment horizontal="center"/>
    </xf>
    <xf numFmtId="0" fontId="3" fillId="3" borderId="14" xfId="0" applyFont="1" applyFill="1" applyBorder="1" applyAlignment="1">
      <alignment horizontal="center" wrapText="1"/>
    </xf>
    <xf numFmtId="0" fontId="3" fillId="2" borderId="11" xfId="0" applyFont="1" applyFill="1" applyBorder="1" applyAlignment="1">
      <alignment horizontal="center" wrapText="1"/>
    </xf>
    <xf numFmtId="0" fontId="3" fillId="2" borderId="13" xfId="0" applyFont="1" applyFill="1" applyBorder="1" applyAlignment="1">
      <alignment horizontal="center" wrapText="1"/>
    </xf>
    <xf numFmtId="0" fontId="3" fillId="3" borderId="11" xfId="0" applyFont="1" applyFill="1" applyBorder="1" applyAlignment="1">
      <alignment horizontal="center" wrapText="1"/>
    </xf>
    <xf numFmtId="14" fontId="0" fillId="0" borderId="3" xfId="0" applyNumberFormat="1" applyBorder="1" applyAlignment="1">
      <alignment horizontal="center"/>
    </xf>
    <xf numFmtId="14" fontId="0" fillId="0" borderId="4" xfId="0" applyNumberFormat="1" applyBorder="1" applyAlignment="1">
      <alignment horizontal="center"/>
    </xf>
    <xf numFmtId="14" fontId="0" fillId="0" borderId="5" xfId="0" applyNumberFormat="1" applyBorder="1" applyAlignment="1">
      <alignment horizontal="center"/>
    </xf>
    <xf numFmtId="14" fontId="0" fillId="0" borderId="6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4" fontId="0" fillId="0" borderId="7" xfId="0" applyNumberFormat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14" fontId="0" fillId="0" borderId="9" xfId="0" applyNumberFormat="1" applyBorder="1" applyAlignment="1">
      <alignment horizontal="center"/>
    </xf>
    <xf numFmtId="14" fontId="0" fillId="0" borderId="10" xfId="0" applyNumberFormat="1" applyBorder="1" applyAlignment="1">
      <alignment horizontal="center"/>
    </xf>
    <xf numFmtId="165" fontId="0" fillId="4" borderId="6" xfId="1" applyNumberFormat="1" applyFont="1" applyFill="1" applyBorder="1"/>
    <xf numFmtId="0" fontId="3" fillId="3" borderId="15" xfId="0" applyFont="1" applyFill="1" applyBorder="1" applyAlignment="1">
      <alignment horizontal="center" wrapText="1"/>
    </xf>
    <xf numFmtId="165" fontId="0" fillId="0" borderId="3" xfId="1" applyNumberFormat="1" applyFont="1" applyBorder="1" applyAlignment="1">
      <alignment horizontal="center"/>
    </xf>
    <xf numFmtId="165" fontId="0" fillId="0" borderId="6" xfId="1" applyNumberFormat="1" applyFont="1" applyBorder="1" applyAlignment="1">
      <alignment horizontal="center"/>
    </xf>
    <xf numFmtId="165" fontId="0" fillId="0" borderId="8" xfId="1" applyNumberFormat="1" applyFont="1" applyBorder="1" applyAlignment="1">
      <alignment horizontal="center"/>
    </xf>
    <xf numFmtId="165" fontId="0" fillId="0" borderId="16" xfId="1" applyNumberFormat="1" applyFont="1" applyBorder="1"/>
    <xf numFmtId="165" fontId="0" fillId="0" borderId="17" xfId="1" applyNumberFormat="1" applyFont="1" applyBorder="1"/>
    <xf numFmtId="165" fontId="0" fillId="0" borderId="18" xfId="1" applyNumberFormat="1" applyFont="1" applyBorder="1"/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14" fontId="3" fillId="0" borderId="0" xfId="0" applyNumberFormat="1" applyFont="1" applyBorder="1"/>
    <xf numFmtId="165" fontId="3" fillId="0" borderId="0" xfId="1" applyNumberFormat="1" applyFont="1" applyBorder="1" applyAlignment="1">
      <alignment horizontal="center"/>
    </xf>
    <xf numFmtId="165" fontId="0" fillId="0" borderId="19" xfId="1" applyNumberFormat="1" applyFont="1" applyBorder="1"/>
    <xf numFmtId="165" fontId="0" fillId="0" borderId="20" xfId="1" applyNumberFormat="1" applyFont="1" applyBorder="1"/>
    <xf numFmtId="165" fontId="0" fillId="0" borderId="21" xfId="1" applyNumberFormat="1" applyFont="1" applyBorder="1"/>
    <xf numFmtId="165" fontId="0" fillId="5" borderId="1" xfId="0" applyNumberFormat="1" applyFill="1" applyBorder="1"/>
    <xf numFmtId="0" fontId="3" fillId="3" borderId="22" xfId="0" applyFont="1" applyFill="1" applyBorder="1" applyAlignment="1">
      <alignment horizontal="center" wrapText="1"/>
    </xf>
    <xf numFmtId="0" fontId="3" fillId="3" borderId="2" xfId="0" applyFont="1" applyFill="1" applyBorder="1" applyAlignment="1">
      <alignment horizontal="center" wrapText="1"/>
    </xf>
    <xf numFmtId="0" fontId="0" fillId="0" borderId="6" xfId="0" applyBorder="1"/>
    <xf numFmtId="0" fontId="0" fillId="0" borderId="8" xfId="0" applyBorder="1"/>
    <xf numFmtId="165" fontId="0" fillId="0" borderId="16" xfId="0" applyNumberFormat="1" applyBorder="1"/>
    <xf numFmtId="165" fontId="0" fillId="0" borderId="17" xfId="0" applyNumberFormat="1" applyBorder="1"/>
    <xf numFmtId="165" fontId="0" fillId="0" borderId="18" xfId="0" applyNumberFormat="1" applyBorder="1"/>
    <xf numFmtId="0" fontId="2" fillId="0" borderId="0" xfId="0" applyFont="1"/>
    <xf numFmtId="0" fontId="5" fillId="0" borderId="23" xfId="0" applyFont="1" applyFill="1" applyBorder="1" applyAlignment="1">
      <alignment horizontal="center"/>
    </xf>
    <xf numFmtId="0" fontId="5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4" fillId="3" borderId="0" xfId="0" applyFont="1" applyFill="1" applyBorder="1" applyAlignment="1">
      <alignment horizontal="center" wrapText="1"/>
    </xf>
    <xf numFmtId="0" fontId="2" fillId="0" borderId="0" xfId="0" applyFont="1" applyFill="1" applyBorder="1"/>
    <xf numFmtId="43" fontId="2" fillId="0" borderId="0" xfId="1" applyFont="1"/>
    <xf numFmtId="43" fontId="4" fillId="0" borderId="0" xfId="1" applyFont="1" applyFill="1" applyBorder="1"/>
    <xf numFmtId="43" fontId="4" fillId="0" borderId="0" xfId="1" applyFont="1"/>
    <xf numFmtId="0" fontId="4" fillId="0" borderId="0" xfId="0" applyFont="1"/>
    <xf numFmtId="0" fontId="4" fillId="0" borderId="0" xfId="0" applyFont="1" applyFill="1" applyBorder="1" applyAlignment="1">
      <alignment horizontal="center" wrapText="1"/>
    </xf>
    <xf numFmtId="2" fontId="4" fillId="0" borderId="0" xfId="0" applyNumberFormat="1" applyFont="1"/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A77B3-A8B3-4A4A-8F47-5E9B4748DA47}">
  <dimension ref="A1:AA17"/>
  <sheetViews>
    <sheetView topLeftCell="L1" workbookViewId="0">
      <selection activeCell="R18" sqref="R18"/>
    </sheetView>
  </sheetViews>
  <sheetFormatPr baseColWidth="10" defaultRowHeight="15" x14ac:dyDescent="0.25"/>
  <cols>
    <col min="2" max="2" width="10.28515625" customWidth="1"/>
    <col min="3" max="3" width="36.42578125" customWidth="1"/>
    <col min="5" max="5" width="13" customWidth="1"/>
    <col min="6" max="6" width="8.140625" bestFit="1" customWidth="1"/>
    <col min="7" max="7" width="7.140625" bestFit="1" customWidth="1"/>
    <col min="8" max="8" width="7.42578125" bestFit="1" customWidth="1"/>
    <col min="9" max="9" width="8.140625" bestFit="1" customWidth="1"/>
    <col min="10" max="10" width="9.7109375" customWidth="1"/>
    <col min="11" max="11" width="11.42578125" bestFit="1" customWidth="1"/>
    <col min="12" max="12" width="12" customWidth="1"/>
    <col min="13" max="13" width="10.5703125" customWidth="1"/>
    <col min="14" max="14" width="15.140625" bestFit="1" customWidth="1"/>
    <col min="15" max="15" width="11.85546875" bestFit="1" customWidth="1"/>
    <col min="16" max="16" width="12.7109375" bestFit="1" customWidth="1"/>
    <col min="17" max="17" width="11.85546875" customWidth="1"/>
    <col min="18" max="18" width="8.28515625" style="1" customWidth="1"/>
    <col min="19" max="19" width="13.7109375" customWidth="1"/>
    <col min="20" max="20" width="14.5703125" style="1" customWidth="1"/>
    <col min="21" max="21" width="15.28515625" customWidth="1"/>
    <col min="22" max="22" width="14.5703125" customWidth="1"/>
    <col min="23" max="23" width="16.7109375" customWidth="1"/>
    <col min="24" max="24" width="13.140625" customWidth="1"/>
    <col min="25" max="25" width="8.140625" bestFit="1" customWidth="1"/>
  </cols>
  <sheetData>
    <row r="1" spans="1:27" s="39" customFormat="1" ht="15.75" thickBot="1" x14ac:dyDescent="0.3">
      <c r="B1" s="40" t="s">
        <v>38</v>
      </c>
      <c r="J1" s="40" t="s">
        <v>48</v>
      </c>
      <c r="K1" s="40" t="s">
        <v>48</v>
      </c>
      <c r="L1" s="40"/>
      <c r="M1" s="40" t="s">
        <v>48</v>
      </c>
      <c r="N1" s="40"/>
      <c r="O1" s="40" t="s">
        <v>48</v>
      </c>
      <c r="P1" s="40"/>
      <c r="Q1" s="40" t="s">
        <v>48</v>
      </c>
      <c r="R1" s="40" t="s">
        <v>48</v>
      </c>
      <c r="S1" s="40" t="s">
        <v>48</v>
      </c>
      <c r="T1" s="40"/>
    </row>
    <row r="2" spans="1:27" ht="45.75" thickBot="1" x14ac:dyDescent="0.3">
      <c r="A2" s="18" t="s">
        <v>0</v>
      </c>
      <c r="B2" s="19" t="s">
        <v>1</v>
      </c>
      <c r="C2" s="20" t="s">
        <v>2</v>
      </c>
      <c r="D2" s="41" t="s">
        <v>3</v>
      </c>
      <c r="E2" s="19" t="s">
        <v>4</v>
      </c>
      <c r="F2" s="19" t="s">
        <v>5</v>
      </c>
      <c r="G2" s="19" t="s">
        <v>6</v>
      </c>
      <c r="H2" s="19" t="s">
        <v>7</v>
      </c>
      <c r="I2" s="20" t="s">
        <v>8</v>
      </c>
      <c r="J2" s="42" t="s">
        <v>19</v>
      </c>
      <c r="K2" s="43" t="s">
        <v>20</v>
      </c>
      <c r="L2" s="44" t="s">
        <v>9</v>
      </c>
      <c r="M2" s="21" t="s">
        <v>31</v>
      </c>
      <c r="N2" s="20" t="s">
        <v>10</v>
      </c>
      <c r="O2" s="42" t="s">
        <v>33</v>
      </c>
      <c r="P2" s="19" t="s">
        <v>11</v>
      </c>
      <c r="Q2" s="21" t="s">
        <v>34</v>
      </c>
      <c r="R2" s="21" t="s">
        <v>32</v>
      </c>
      <c r="S2" s="43" t="s">
        <v>41</v>
      </c>
      <c r="T2" s="44" t="s">
        <v>12</v>
      </c>
      <c r="U2" s="19" t="s">
        <v>13</v>
      </c>
      <c r="V2" s="19" t="s">
        <v>14</v>
      </c>
      <c r="W2" s="19" t="s">
        <v>15</v>
      </c>
      <c r="X2" s="20" t="s">
        <v>16</v>
      </c>
      <c r="Y2" s="55" t="s">
        <v>17</v>
      </c>
      <c r="AA2" s="88" t="s">
        <v>64</v>
      </c>
    </row>
    <row r="3" spans="1:27" s="17" customFormat="1" ht="15.75" thickBot="1" x14ac:dyDescent="0.3">
      <c r="A3" s="16"/>
      <c r="B3" s="9"/>
      <c r="C3" s="9"/>
      <c r="D3" s="9" t="s">
        <v>22</v>
      </c>
      <c r="E3" s="9" t="s">
        <v>22</v>
      </c>
      <c r="F3" s="9" t="s">
        <v>22</v>
      </c>
      <c r="G3" s="9" t="s">
        <v>22</v>
      </c>
      <c r="H3" s="9" t="s">
        <v>22</v>
      </c>
      <c r="I3" s="9" t="s">
        <v>22</v>
      </c>
      <c r="J3" s="9" t="s">
        <v>22</v>
      </c>
      <c r="K3" s="9" t="s">
        <v>22</v>
      </c>
      <c r="L3" s="9"/>
      <c r="M3" s="9"/>
      <c r="N3" s="9"/>
      <c r="O3" s="9"/>
      <c r="P3" s="9"/>
      <c r="Q3" s="9"/>
      <c r="R3" s="9"/>
      <c r="S3" s="9"/>
      <c r="T3" s="9" t="s">
        <v>22</v>
      </c>
      <c r="U3" s="9" t="s">
        <v>22</v>
      </c>
      <c r="V3" s="9" t="s">
        <v>22</v>
      </c>
      <c r="W3" s="9" t="s">
        <v>22</v>
      </c>
      <c r="X3" s="9" t="s">
        <v>22</v>
      </c>
      <c r="Y3" s="9" t="s">
        <v>22</v>
      </c>
      <c r="AA3" s="83"/>
    </row>
    <row r="4" spans="1:27" x14ac:dyDescent="0.25">
      <c r="A4" s="22" t="s">
        <v>18</v>
      </c>
      <c r="B4" s="23">
        <v>3324</v>
      </c>
      <c r="C4" s="33" t="s">
        <v>39</v>
      </c>
      <c r="D4" s="36"/>
      <c r="E4" s="24">
        <v>10000</v>
      </c>
      <c r="F4" s="24"/>
      <c r="G4" s="24"/>
      <c r="H4" s="24"/>
      <c r="I4" s="25">
        <f>SUM(D4:H4)</f>
        <v>10000</v>
      </c>
      <c r="J4" s="36">
        <f>0*I4</f>
        <v>0</v>
      </c>
      <c r="K4" s="25">
        <f>E4-J4</f>
        <v>10000</v>
      </c>
      <c r="L4" s="45">
        <v>45536</v>
      </c>
      <c r="M4" s="46">
        <f>L4+28</f>
        <v>45564</v>
      </c>
      <c r="N4" s="47">
        <v>45566</v>
      </c>
      <c r="O4" s="36">
        <v>3</v>
      </c>
      <c r="P4" s="26">
        <f>1/O4</f>
        <v>0.33333333333333331</v>
      </c>
      <c r="Q4" s="24">
        <f>O4*12</f>
        <v>36</v>
      </c>
      <c r="R4" s="27" t="s">
        <v>35</v>
      </c>
      <c r="S4" s="25">
        <v>3</v>
      </c>
      <c r="T4" s="56">
        <v>0</v>
      </c>
      <c r="U4" s="24">
        <f t="shared" ref="U4:U7" si="0">K4*S4/Q4</f>
        <v>833.33333333333337</v>
      </c>
      <c r="V4" s="24" t="s">
        <v>21</v>
      </c>
      <c r="W4" s="24" t="s">
        <v>21</v>
      </c>
      <c r="X4" s="66">
        <f>SUM(T4:W4)</f>
        <v>833.33333333333337</v>
      </c>
      <c r="Y4" s="59">
        <f>I4-X4</f>
        <v>9166.6666666666661</v>
      </c>
      <c r="AA4" s="84">
        <v>2</v>
      </c>
    </row>
    <row r="5" spans="1:27" x14ac:dyDescent="0.25">
      <c r="A5" s="10" t="s">
        <v>23</v>
      </c>
      <c r="B5" s="3">
        <v>3351</v>
      </c>
      <c r="C5" s="34" t="s">
        <v>24</v>
      </c>
      <c r="D5" s="37"/>
      <c r="E5" s="5">
        <v>2500</v>
      </c>
      <c r="F5" s="5"/>
      <c r="G5" s="5"/>
      <c r="H5" s="5"/>
      <c r="I5" s="11">
        <f t="shared" ref="I5:I8" si="1">SUM(D5:H5)</f>
        <v>2500</v>
      </c>
      <c r="J5" s="37">
        <f>0.1*I5</f>
        <v>250</v>
      </c>
      <c r="K5" s="11">
        <f t="shared" ref="K5:K12" si="2">E5-J5</f>
        <v>2250</v>
      </c>
      <c r="L5" s="48">
        <v>45555</v>
      </c>
      <c r="M5" s="49">
        <f>L5+30</f>
        <v>45585</v>
      </c>
      <c r="N5" s="50">
        <v>45597</v>
      </c>
      <c r="O5" s="37">
        <v>4</v>
      </c>
      <c r="P5" s="6">
        <f>1/O5</f>
        <v>0.25</v>
      </c>
      <c r="Q5" s="5">
        <f t="shared" ref="Q5:Q12" si="3">O5*12</f>
        <v>48</v>
      </c>
      <c r="R5" s="7" t="s">
        <v>35</v>
      </c>
      <c r="S5" s="11">
        <v>2</v>
      </c>
      <c r="T5" s="57">
        <v>0</v>
      </c>
      <c r="U5" s="5">
        <f t="shared" si="0"/>
        <v>93.75</v>
      </c>
      <c r="V5" s="5"/>
      <c r="W5" s="5"/>
      <c r="X5" s="67">
        <f t="shared" ref="X5" si="4">SUM(T5:W5)</f>
        <v>93.75</v>
      </c>
      <c r="Y5" s="60">
        <f t="shared" ref="Y5:Y12" si="5">I5-X5</f>
        <v>2406.25</v>
      </c>
      <c r="AA5" s="84">
        <v>1</v>
      </c>
    </row>
    <row r="6" spans="1:27" x14ac:dyDescent="0.25">
      <c r="A6" s="10" t="s">
        <v>27</v>
      </c>
      <c r="B6" s="3">
        <v>3351</v>
      </c>
      <c r="C6" s="34" t="s">
        <v>25</v>
      </c>
      <c r="D6" s="37"/>
      <c r="E6" s="5">
        <v>2000</v>
      </c>
      <c r="F6" s="5"/>
      <c r="G6" s="5"/>
      <c r="H6" s="5"/>
      <c r="I6" s="11">
        <f t="shared" si="1"/>
        <v>2000</v>
      </c>
      <c r="J6" s="37">
        <f t="shared" ref="J6:J7" si="6">0.1*I6</f>
        <v>200</v>
      </c>
      <c r="K6" s="11">
        <f t="shared" si="2"/>
        <v>1800</v>
      </c>
      <c r="L6" s="48">
        <v>45555</v>
      </c>
      <c r="M6" s="49">
        <f>L6+30</f>
        <v>45585</v>
      </c>
      <c r="N6" s="50">
        <v>45597</v>
      </c>
      <c r="O6" s="37">
        <v>4</v>
      </c>
      <c r="P6" s="6">
        <f>1/O6</f>
        <v>0.25</v>
      </c>
      <c r="Q6" s="5">
        <f t="shared" si="3"/>
        <v>48</v>
      </c>
      <c r="R6" s="7" t="s">
        <v>35</v>
      </c>
      <c r="S6" s="11">
        <v>2</v>
      </c>
      <c r="T6" s="57">
        <v>0</v>
      </c>
      <c r="U6" s="5">
        <f t="shared" si="0"/>
        <v>75</v>
      </c>
      <c r="V6" s="5"/>
      <c r="W6" s="5"/>
      <c r="X6" s="67">
        <f t="shared" ref="X6:X8" si="7">SUM(T6:W6)</f>
        <v>75</v>
      </c>
      <c r="Y6" s="60">
        <f t="shared" si="5"/>
        <v>1925</v>
      </c>
      <c r="AA6" s="84">
        <v>1</v>
      </c>
    </row>
    <row r="7" spans="1:27" x14ac:dyDescent="0.25">
      <c r="A7" s="10" t="s">
        <v>28</v>
      </c>
      <c r="B7" s="3">
        <v>3351</v>
      </c>
      <c r="C7" s="34" t="s">
        <v>26</v>
      </c>
      <c r="D7" s="37"/>
      <c r="E7" s="5">
        <v>3500</v>
      </c>
      <c r="F7" s="5"/>
      <c r="G7" s="5"/>
      <c r="H7" s="5"/>
      <c r="I7" s="11">
        <f t="shared" si="1"/>
        <v>3500</v>
      </c>
      <c r="J7" s="37">
        <f t="shared" si="6"/>
        <v>350</v>
      </c>
      <c r="K7" s="11">
        <f t="shared" si="2"/>
        <v>3150</v>
      </c>
      <c r="L7" s="48">
        <v>45555</v>
      </c>
      <c r="M7" s="49">
        <f>L7+30</f>
        <v>45585</v>
      </c>
      <c r="N7" s="50">
        <v>45597</v>
      </c>
      <c r="O7" s="37">
        <v>4</v>
      </c>
      <c r="P7" s="6">
        <f>1/O7</f>
        <v>0.25</v>
      </c>
      <c r="Q7" s="5">
        <f t="shared" si="3"/>
        <v>48</v>
      </c>
      <c r="R7" s="7" t="s">
        <v>35</v>
      </c>
      <c r="S7" s="11">
        <v>2</v>
      </c>
      <c r="T7" s="57">
        <v>0</v>
      </c>
      <c r="U7" s="5">
        <f t="shared" si="0"/>
        <v>131.25</v>
      </c>
      <c r="V7" s="5"/>
      <c r="W7" s="5"/>
      <c r="X7" s="67">
        <f t="shared" si="7"/>
        <v>131.25</v>
      </c>
      <c r="Y7" s="60">
        <f t="shared" si="5"/>
        <v>3368.75</v>
      </c>
      <c r="AA7" s="84">
        <v>1</v>
      </c>
    </row>
    <row r="8" spans="1:27" x14ac:dyDescent="0.25">
      <c r="A8" s="10" t="s">
        <v>29</v>
      </c>
      <c r="B8" s="3">
        <v>3341</v>
      </c>
      <c r="C8" s="34" t="s">
        <v>30</v>
      </c>
      <c r="D8" s="37"/>
      <c r="E8" s="5">
        <v>30000</v>
      </c>
      <c r="F8" s="5"/>
      <c r="G8" s="5"/>
      <c r="H8" s="5"/>
      <c r="I8" s="11">
        <f t="shared" si="1"/>
        <v>30000</v>
      </c>
      <c r="J8" s="37">
        <f>0.2*I8</f>
        <v>6000</v>
      </c>
      <c r="K8" s="11">
        <f t="shared" si="2"/>
        <v>24000</v>
      </c>
      <c r="L8" s="48">
        <v>45573</v>
      </c>
      <c r="M8" s="49">
        <f>L8+15</f>
        <v>45588</v>
      </c>
      <c r="N8" s="50">
        <v>45597</v>
      </c>
      <c r="O8" s="54">
        <v>0</v>
      </c>
      <c r="P8" s="8">
        <v>0</v>
      </c>
      <c r="Q8" s="5">
        <v>100000</v>
      </c>
      <c r="R8" s="7" t="s">
        <v>36</v>
      </c>
      <c r="S8" s="11">
        <v>8000</v>
      </c>
      <c r="T8" s="57">
        <v>0</v>
      </c>
      <c r="U8" s="5">
        <f>K8*S8/Q8</f>
        <v>1920</v>
      </c>
      <c r="V8" s="5"/>
      <c r="W8" s="5"/>
      <c r="X8" s="67">
        <f t="shared" si="7"/>
        <v>1920</v>
      </c>
      <c r="Y8" s="60">
        <f t="shared" si="5"/>
        <v>28080</v>
      </c>
      <c r="AA8" s="84">
        <v>2</v>
      </c>
    </row>
    <row r="9" spans="1:27" x14ac:dyDescent="0.25">
      <c r="A9" s="10" t="s">
        <v>40</v>
      </c>
      <c r="B9" s="3">
        <v>3331</v>
      </c>
      <c r="C9" s="34" t="s">
        <v>37</v>
      </c>
      <c r="D9" s="37"/>
      <c r="E9" s="5">
        <v>3000</v>
      </c>
      <c r="F9" s="5"/>
      <c r="G9" s="5"/>
      <c r="H9" s="5"/>
      <c r="I9" s="11">
        <f t="shared" ref="I9:I13" si="8">SUM(D9:H9)</f>
        <v>3000</v>
      </c>
      <c r="J9" s="37">
        <f>0.03*I9</f>
        <v>90</v>
      </c>
      <c r="K9" s="11">
        <f t="shared" si="2"/>
        <v>2910</v>
      </c>
      <c r="L9" s="48">
        <v>45580</v>
      </c>
      <c r="M9" s="49">
        <f>L9+21</f>
        <v>45601</v>
      </c>
      <c r="N9" s="50">
        <v>45627</v>
      </c>
      <c r="O9" s="37">
        <v>10</v>
      </c>
      <c r="P9" s="6">
        <f>1/O9</f>
        <v>0.1</v>
      </c>
      <c r="Q9" s="5">
        <f t="shared" si="3"/>
        <v>120</v>
      </c>
      <c r="R9" s="7" t="s">
        <v>35</v>
      </c>
      <c r="S9" s="11">
        <v>1</v>
      </c>
      <c r="T9" s="57">
        <v>0</v>
      </c>
      <c r="U9" s="5">
        <f t="shared" ref="U9:U12" si="9">K9*S9/Q9</f>
        <v>24.25</v>
      </c>
      <c r="V9" s="5"/>
      <c r="W9" s="5"/>
      <c r="X9" s="67">
        <f t="shared" ref="X9:X13" si="10">SUM(T9:W9)</f>
        <v>24.25</v>
      </c>
      <c r="Y9" s="60">
        <f t="shared" si="5"/>
        <v>2975.75</v>
      </c>
      <c r="AA9" s="84">
        <v>1</v>
      </c>
    </row>
    <row r="10" spans="1:27" x14ac:dyDescent="0.25">
      <c r="A10" s="10" t="s">
        <v>42</v>
      </c>
      <c r="B10" s="3">
        <v>3331</v>
      </c>
      <c r="C10" s="34" t="s">
        <v>43</v>
      </c>
      <c r="D10" s="37"/>
      <c r="E10" s="5">
        <v>4000</v>
      </c>
      <c r="F10" s="5"/>
      <c r="G10" s="5"/>
      <c r="H10" s="5"/>
      <c r="I10" s="11">
        <f t="shared" ref="I10" si="11">SUM(D10:H10)</f>
        <v>4000</v>
      </c>
      <c r="J10" s="37">
        <f>0.03*I10</f>
        <v>120</v>
      </c>
      <c r="K10" s="11">
        <f t="shared" si="2"/>
        <v>3880</v>
      </c>
      <c r="L10" s="48">
        <v>45580</v>
      </c>
      <c r="M10" s="49">
        <f>L10+21</f>
        <v>45601</v>
      </c>
      <c r="N10" s="50">
        <v>45627</v>
      </c>
      <c r="O10" s="37">
        <v>10</v>
      </c>
      <c r="P10" s="6">
        <f>1/O10</f>
        <v>0.1</v>
      </c>
      <c r="Q10" s="5">
        <f t="shared" si="3"/>
        <v>120</v>
      </c>
      <c r="R10" s="7" t="s">
        <v>35</v>
      </c>
      <c r="S10" s="11">
        <v>1</v>
      </c>
      <c r="T10" s="57">
        <v>0</v>
      </c>
      <c r="U10" s="5">
        <f t="shared" ref="U10" si="12">K10*S10/Q10</f>
        <v>32.333333333333336</v>
      </c>
      <c r="V10" s="5"/>
      <c r="W10" s="5"/>
      <c r="X10" s="67">
        <f t="shared" ref="X10" si="13">SUM(T10:W10)</f>
        <v>32.333333333333336</v>
      </c>
      <c r="Y10" s="60">
        <f t="shared" si="5"/>
        <v>3967.6666666666665</v>
      </c>
      <c r="AA10" s="84">
        <v>1</v>
      </c>
    </row>
    <row r="11" spans="1:27" x14ac:dyDescent="0.25">
      <c r="A11" s="10" t="s">
        <v>44</v>
      </c>
      <c r="B11" s="3">
        <v>3369</v>
      </c>
      <c r="C11" s="34" t="s">
        <v>46</v>
      </c>
      <c r="D11" s="37"/>
      <c r="E11" s="5">
        <v>5000</v>
      </c>
      <c r="F11" s="5"/>
      <c r="G11" s="5"/>
      <c r="H11" s="5"/>
      <c r="I11" s="11">
        <f t="shared" ref="I11" si="14">SUM(D11:H11)</f>
        <v>5000</v>
      </c>
      <c r="J11" s="37">
        <f>0.03*I11</f>
        <v>150</v>
      </c>
      <c r="K11" s="11">
        <f t="shared" si="2"/>
        <v>4850</v>
      </c>
      <c r="L11" s="48">
        <v>45580</v>
      </c>
      <c r="M11" s="49">
        <f>L11+21</f>
        <v>45601</v>
      </c>
      <c r="N11" s="50">
        <v>45627</v>
      </c>
      <c r="O11" s="37">
        <v>10</v>
      </c>
      <c r="P11" s="6">
        <f>1/O11</f>
        <v>0.1</v>
      </c>
      <c r="Q11" s="5">
        <f t="shared" si="3"/>
        <v>120</v>
      </c>
      <c r="R11" s="7" t="s">
        <v>35</v>
      </c>
      <c r="S11" s="11">
        <v>1</v>
      </c>
      <c r="T11" s="57">
        <v>0</v>
      </c>
      <c r="U11" s="5">
        <f t="shared" ref="U11" si="15">K11*S11/Q11</f>
        <v>40.416666666666664</v>
      </c>
      <c r="V11" s="5"/>
      <c r="W11" s="5"/>
      <c r="X11" s="67">
        <f t="shared" si="10"/>
        <v>40.416666666666664</v>
      </c>
      <c r="Y11" s="60">
        <f t="shared" si="5"/>
        <v>4959.583333333333</v>
      </c>
      <c r="AA11" s="84">
        <v>1</v>
      </c>
    </row>
    <row r="12" spans="1:27" ht="15.75" thickBot="1" x14ac:dyDescent="0.3">
      <c r="A12" s="12" t="s">
        <v>45</v>
      </c>
      <c r="B12" s="13">
        <v>3361</v>
      </c>
      <c r="C12" s="35" t="s">
        <v>47</v>
      </c>
      <c r="D12" s="38"/>
      <c r="E12" s="14">
        <v>5000</v>
      </c>
      <c r="F12" s="14"/>
      <c r="G12" s="14">
        <v>-5000</v>
      </c>
      <c r="H12" s="14"/>
      <c r="I12" s="15">
        <f t="shared" si="8"/>
        <v>0</v>
      </c>
      <c r="J12" s="38">
        <v>0</v>
      </c>
      <c r="K12" s="15">
        <f t="shared" si="2"/>
        <v>5000</v>
      </c>
      <c r="L12" s="51">
        <v>45585</v>
      </c>
      <c r="M12" s="52">
        <f>L12+0</f>
        <v>45585</v>
      </c>
      <c r="N12" s="53">
        <v>45597</v>
      </c>
      <c r="O12" s="38">
        <v>2</v>
      </c>
      <c r="P12" s="28">
        <f>1/O12</f>
        <v>0.5</v>
      </c>
      <c r="Q12" s="14">
        <f t="shared" si="3"/>
        <v>24</v>
      </c>
      <c r="R12" s="29" t="s">
        <v>35</v>
      </c>
      <c r="S12" s="15">
        <v>2</v>
      </c>
      <c r="T12" s="58">
        <v>0</v>
      </c>
      <c r="U12" s="14">
        <f t="shared" si="9"/>
        <v>416.66666666666669</v>
      </c>
      <c r="V12" s="14">
        <f>-U12</f>
        <v>-416.66666666666669</v>
      </c>
      <c r="W12" s="14"/>
      <c r="X12" s="68">
        <f t="shared" si="10"/>
        <v>0</v>
      </c>
      <c r="Y12" s="61">
        <f t="shared" si="5"/>
        <v>0</v>
      </c>
      <c r="AA12" s="84">
        <v>2</v>
      </c>
    </row>
    <row r="13" spans="1:27" s="30" customFormat="1" x14ac:dyDescent="0.25">
      <c r="A13" s="62"/>
      <c r="B13" s="63"/>
      <c r="C13" s="31" t="s">
        <v>49</v>
      </c>
      <c r="D13" s="32">
        <f>SUM(D4:D12)</f>
        <v>0</v>
      </c>
      <c r="E13" s="32">
        <f>SUM(E4:E12)</f>
        <v>65000</v>
      </c>
      <c r="F13" s="32">
        <f t="shared" ref="F13:K13" si="16">SUM(F4:F12)</f>
        <v>0</v>
      </c>
      <c r="G13" s="32">
        <f t="shared" si="16"/>
        <v>-5000</v>
      </c>
      <c r="H13" s="32">
        <f t="shared" si="16"/>
        <v>0</v>
      </c>
      <c r="I13" s="32">
        <f t="shared" si="16"/>
        <v>60000</v>
      </c>
      <c r="J13" s="32"/>
      <c r="K13" s="32"/>
      <c r="L13" s="64"/>
      <c r="M13" s="64"/>
      <c r="N13" s="64"/>
      <c r="O13" s="32"/>
      <c r="P13" s="32"/>
      <c r="Q13" s="32"/>
      <c r="R13" s="65"/>
      <c r="S13" s="32"/>
      <c r="T13" s="32">
        <f t="shared" ref="T13" si="17">SUM(T4:T12)</f>
        <v>0</v>
      </c>
      <c r="U13" s="32">
        <f t="shared" ref="U13" si="18">SUM(U4:U12)</f>
        <v>3567</v>
      </c>
      <c r="V13" s="32">
        <f t="shared" ref="V13" si="19">SUM(V4:V12)</f>
        <v>-416.66666666666669</v>
      </c>
      <c r="W13" s="32">
        <f t="shared" ref="W13" si="20">SUM(W4:W12)</f>
        <v>0</v>
      </c>
      <c r="X13" s="32">
        <f t="shared" ref="X13" si="21">SUM(X4:X12)</f>
        <v>3150.3333333333335</v>
      </c>
      <c r="Y13" s="32">
        <f t="shared" ref="Y13" si="22">SUM(Y4:Y12)</f>
        <v>56849.666666666664</v>
      </c>
      <c r="AA13" s="85">
        <f>SUM(AA4:AA12)</f>
        <v>12</v>
      </c>
    </row>
    <row r="15" spans="1:27" x14ac:dyDescent="0.25">
      <c r="AA15" s="87" t="s">
        <v>65</v>
      </c>
    </row>
    <row r="17" spans="27:27" x14ac:dyDescent="0.25">
      <c r="AA17" s="86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F2BA2-16F1-4922-840E-16D25B0BC2FF}">
  <dimension ref="A1:AE40"/>
  <sheetViews>
    <sheetView tabSelected="1" topLeftCell="A18" workbookViewId="0">
      <selection activeCell="O40" sqref="O40"/>
    </sheetView>
  </sheetViews>
  <sheetFormatPr baseColWidth="10" defaultRowHeight="15" x14ac:dyDescent="0.25"/>
  <cols>
    <col min="2" max="2" width="10.28515625" customWidth="1"/>
    <col min="3" max="3" width="36.42578125" customWidth="1"/>
    <col min="4" max="4" width="0" hidden="1" customWidth="1"/>
    <col min="5" max="5" width="13" hidden="1" customWidth="1"/>
    <col min="6" max="6" width="8.140625" hidden="1" customWidth="1"/>
    <col min="7" max="7" width="7.140625" hidden="1" customWidth="1"/>
    <col min="8" max="8" width="7.42578125" hidden="1" customWidth="1"/>
    <col min="9" max="9" width="8.140625" bestFit="1" customWidth="1"/>
    <col min="10" max="10" width="9.7109375" customWidth="1"/>
    <col min="11" max="11" width="11.42578125" bestFit="1" customWidth="1"/>
    <col min="12" max="12" width="12" hidden="1" customWidth="1"/>
    <col min="13" max="13" width="10.5703125" hidden="1" customWidth="1"/>
    <col min="14" max="14" width="15.140625" bestFit="1" customWidth="1"/>
    <col min="15" max="15" width="11.85546875" bestFit="1" customWidth="1"/>
    <col min="16" max="16" width="12.7109375" bestFit="1" customWidth="1"/>
    <col min="17" max="17" width="11.85546875" customWidth="1"/>
    <col min="18" max="18" width="8.28515625" style="1" customWidth="1"/>
    <col min="19" max="19" width="13.7109375" customWidth="1"/>
    <col min="20" max="20" width="14.5703125" style="1" hidden="1" customWidth="1"/>
    <col min="21" max="21" width="15.28515625" hidden="1" customWidth="1"/>
    <col min="22" max="22" width="14.5703125" hidden="1" customWidth="1"/>
    <col min="23" max="23" width="16.7109375" hidden="1" customWidth="1"/>
    <col min="24" max="24" width="13.140625" hidden="1" customWidth="1"/>
    <col min="25" max="25" width="8.140625" hidden="1" customWidth="1"/>
    <col min="27" max="27" width="12" customWidth="1"/>
  </cols>
  <sheetData>
    <row r="1" spans="1:31" s="39" customFormat="1" ht="15.75" thickBot="1" x14ac:dyDescent="0.3">
      <c r="B1" s="40" t="s">
        <v>38</v>
      </c>
      <c r="J1" s="40" t="s">
        <v>48</v>
      </c>
      <c r="K1" s="40" t="s">
        <v>48</v>
      </c>
      <c r="L1" s="40"/>
      <c r="M1" s="40" t="s">
        <v>48</v>
      </c>
      <c r="N1" s="40"/>
      <c r="O1" s="40" t="s">
        <v>48</v>
      </c>
      <c r="P1" s="40"/>
      <c r="Q1" s="40" t="s">
        <v>48</v>
      </c>
      <c r="R1" s="40" t="s">
        <v>48</v>
      </c>
      <c r="S1" s="40" t="s">
        <v>48</v>
      </c>
      <c r="T1" s="40"/>
      <c r="AA1" s="78" t="s">
        <v>55</v>
      </c>
      <c r="AB1" s="78"/>
      <c r="AC1" s="78"/>
      <c r="AD1" s="78"/>
    </row>
    <row r="2" spans="1:31" ht="45.75" thickBot="1" x14ac:dyDescent="0.3">
      <c r="A2" s="18" t="s">
        <v>0</v>
      </c>
      <c r="B2" s="19" t="s">
        <v>1</v>
      </c>
      <c r="C2" s="20" t="s">
        <v>2</v>
      </c>
      <c r="D2" s="41" t="s">
        <v>3</v>
      </c>
      <c r="E2" s="19" t="s">
        <v>4</v>
      </c>
      <c r="F2" s="19" t="s">
        <v>5</v>
      </c>
      <c r="G2" s="19" t="s">
        <v>6</v>
      </c>
      <c r="H2" s="19" t="s">
        <v>7</v>
      </c>
      <c r="I2" s="20" t="s">
        <v>8</v>
      </c>
      <c r="J2" s="42" t="s">
        <v>19</v>
      </c>
      <c r="K2" s="43" t="s">
        <v>20</v>
      </c>
      <c r="L2" s="44" t="s">
        <v>9</v>
      </c>
      <c r="M2" s="21" t="s">
        <v>31</v>
      </c>
      <c r="N2" s="20" t="s">
        <v>10</v>
      </c>
      <c r="O2" s="42" t="s">
        <v>33</v>
      </c>
      <c r="P2" s="19" t="s">
        <v>11</v>
      </c>
      <c r="Q2" s="21" t="s">
        <v>34</v>
      </c>
      <c r="R2" s="21" t="s">
        <v>32</v>
      </c>
      <c r="S2" s="43" t="s">
        <v>41</v>
      </c>
      <c r="T2" s="44" t="s">
        <v>12</v>
      </c>
      <c r="U2" s="19" t="s">
        <v>13</v>
      </c>
      <c r="V2" s="19" t="s">
        <v>14</v>
      </c>
      <c r="W2" s="19" t="s">
        <v>15</v>
      </c>
      <c r="X2" s="20" t="s">
        <v>16</v>
      </c>
      <c r="Y2" s="55" t="s">
        <v>17</v>
      </c>
      <c r="AA2" s="44" t="s">
        <v>50</v>
      </c>
      <c r="AB2" s="19" t="s">
        <v>51</v>
      </c>
      <c r="AC2" s="70" t="s">
        <v>52</v>
      </c>
      <c r="AD2" s="71" t="s">
        <v>53</v>
      </c>
    </row>
    <row r="3" spans="1:31" s="17" customFormat="1" ht="15.75" thickBot="1" x14ac:dyDescent="0.3">
      <c r="A3" s="16"/>
      <c r="B3" s="9"/>
      <c r="C3" s="9"/>
      <c r="D3" s="9" t="s">
        <v>22</v>
      </c>
      <c r="E3" s="9" t="s">
        <v>22</v>
      </c>
      <c r="F3" s="9" t="s">
        <v>22</v>
      </c>
      <c r="G3" s="9" t="s">
        <v>22</v>
      </c>
      <c r="H3" s="9" t="s">
        <v>22</v>
      </c>
      <c r="I3" s="9" t="s">
        <v>22</v>
      </c>
      <c r="J3" s="9" t="s">
        <v>22</v>
      </c>
      <c r="K3" s="9" t="s">
        <v>22</v>
      </c>
      <c r="L3" s="9"/>
      <c r="M3" s="9"/>
      <c r="N3" s="9"/>
      <c r="O3" s="9"/>
      <c r="P3" s="9"/>
      <c r="Q3" s="9"/>
      <c r="R3" s="9"/>
      <c r="S3" s="9"/>
      <c r="T3" s="9" t="s">
        <v>22</v>
      </c>
      <c r="U3" s="9" t="s">
        <v>22</v>
      </c>
      <c r="V3" s="9" t="s">
        <v>22</v>
      </c>
      <c r="W3" s="9" t="s">
        <v>22</v>
      </c>
      <c r="X3" s="9" t="s">
        <v>22</v>
      </c>
      <c r="Y3" s="9" t="s">
        <v>22</v>
      </c>
    </row>
    <row r="4" spans="1:31" x14ac:dyDescent="0.25">
      <c r="A4" s="22" t="s">
        <v>18</v>
      </c>
      <c r="B4" s="23">
        <v>33241</v>
      </c>
      <c r="C4" s="33" t="s">
        <v>39</v>
      </c>
      <c r="D4" s="36"/>
      <c r="E4" s="24">
        <v>10000</v>
      </c>
      <c r="F4" s="24"/>
      <c r="G4" s="24"/>
      <c r="H4" s="24"/>
      <c r="I4" s="25">
        <f>SUM(D4:H4)</f>
        <v>10000</v>
      </c>
      <c r="J4" s="36">
        <f>0*I4</f>
        <v>0</v>
      </c>
      <c r="K4" s="25">
        <f>E4-J4</f>
        <v>10000</v>
      </c>
      <c r="L4" s="45">
        <v>45536</v>
      </c>
      <c r="M4" s="46">
        <f>L4+28</f>
        <v>45564</v>
      </c>
      <c r="N4" s="47">
        <v>45566</v>
      </c>
      <c r="O4" s="36">
        <v>3</v>
      </c>
      <c r="P4" s="26">
        <f>1/O4</f>
        <v>0.33333333333333331</v>
      </c>
      <c r="Q4" s="24">
        <f>O4*12</f>
        <v>36</v>
      </c>
      <c r="R4" s="27" t="s">
        <v>35</v>
      </c>
      <c r="S4" s="25">
        <v>3</v>
      </c>
      <c r="T4" s="56">
        <v>0</v>
      </c>
      <c r="U4" s="24">
        <f t="shared" ref="U4:U7" si="0">K4*S4/Q4</f>
        <v>833.33333333333337</v>
      </c>
      <c r="V4" s="24" t="s">
        <v>21</v>
      </c>
      <c r="W4" s="24" t="s">
        <v>21</v>
      </c>
      <c r="X4" s="66">
        <f>SUM(T4:W4)</f>
        <v>833.33333333333337</v>
      </c>
      <c r="Y4" s="59">
        <f>I4-X4</f>
        <v>9166.6666666666661</v>
      </c>
      <c r="AA4" s="36">
        <f>$K4/$Q4</f>
        <v>277.77777777777777</v>
      </c>
      <c r="AB4" s="24">
        <f t="shared" ref="AB4:AD11" si="1">$K4/$Q4</f>
        <v>277.77777777777777</v>
      </c>
      <c r="AC4" s="66">
        <f t="shared" si="1"/>
        <v>277.77777777777777</v>
      </c>
      <c r="AD4" s="74">
        <f>SUM(AA4:AC4)</f>
        <v>833.33333333333326</v>
      </c>
    </row>
    <row r="5" spans="1:31" x14ac:dyDescent="0.25">
      <c r="A5" s="10" t="s">
        <v>23</v>
      </c>
      <c r="B5" s="3">
        <v>33511</v>
      </c>
      <c r="C5" s="34" t="s">
        <v>24</v>
      </c>
      <c r="D5" s="37"/>
      <c r="E5" s="5">
        <v>2500</v>
      </c>
      <c r="F5" s="5"/>
      <c r="G5" s="5"/>
      <c r="H5" s="5"/>
      <c r="I5" s="11">
        <f t="shared" ref="I5:I12" si="2">SUM(D5:H5)</f>
        <v>2500</v>
      </c>
      <c r="J5" s="37">
        <f>0.1*I5</f>
        <v>250</v>
      </c>
      <c r="K5" s="11">
        <f t="shared" ref="K5:K12" si="3">E5-J5</f>
        <v>2250</v>
      </c>
      <c r="L5" s="48">
        <v>45555</v>
      </c>
      <c r="M5" s="49">
        <f>L5+30</f>
        <v>45585</v>
      </c>
      <c r="N5" s="50">
        <v>45597</v>
      </c>
      <c r="O5" s="37">
        <v>4</v>
      </c>
      <c r="P5" s="6">
        <f>1/O5</f>
        <v>0.25</v>
      </c>
      <c r="Q5" s="5">
        <f t="shared" ref="Q5:Q12" si="4">O5*12</f>
        <v>48</v>
      </c>
      <c r="R5" s="7" t="s">
        <v>35</v>
      </c>
      <c r="S5" s="11">
        <v>2</v>
      </c>
      <c r="T5" s="57">
        <v>0</v>
      </c>
      <c r="U5" s="5">
        <f t="shared" si="0"/>
        <v>93.75</v>
      </c>
      <c r="V5" s="5"/>
      <c r="W5" s="5"/>
      <c r="X5" s="67">
        <f t="shared" ref="X5:X12" si="5">SUM(T5:W5)</f>
        <v>93.75</v>
      </c>
      <c r="Y5" s="60">
        <f t="shared" ref="Y5:Y12" si="6">I5-X5</f>
        <v>2406.25</v>
      </c>
      <c r="AA5" s="72"/>
      <c r="AB5" s="5">
        <f t="shared" si="1"/>
        <v>46.875</v>
      </c>
      <c r="AC5" s="67">
        <f t="shared" si="1"/>
        <v>46.875</v>
      </c>
      <c r="AD5" s="75">
        <f t="shared" ref="AD5:AD12" si="7">SUM(AA5:AC5)</f>
        <v>93.75</v>
      </c>
    </row>
    <row r="6" spans="1:31" x14ac:dyDescent="0.25">
      <c r="A6" s="10" t="s">
        <v>27</v>
      </c>
      <c r="B6" s="3">
        <v>33511</v>
      </c>
      <c r="C6" s="34" t="s">
        <v>25</v>
      </c>
      <c r="D6" s="37"/>
      <c r="E6" s="5">
        <v>2000</v>
      </c>
      <c r="F6" s="5"/>
      <c r="G6" s="5"/>
      <c r="H6" s="5"/>
      <c r="I6" s="11">
        <f t="shared" si="2"/>
        <v>2000</v>
      </c>
      <c r="J6" s="37">
        <f t="shared" ref="J6:J7" si="8">0.1*I6</f>
        <v>200</v>
      </c>
      <c r="K6" s="11">
        <f t="shared" si="3"/>
        <v>1800</v>
      </c>
      <c r="L6" s="48">
        <v>45555</v>
      </c>
      <c r="M6" s="49">
        <f>L6+30</f>
        <v>45585</v>
      </c>
      <c r="N6" s="50">
        <v>45597</v>
      </c>
      <c r="O6" s="37">
        <v>4</v>
      </c>
      <c r="P6" s="6">
        <f>1/O6</f>
        <v>0.25</v>
      </c>
      <c r="Q6" s="5">
        <f t="shared" si="4"/>
        <v>48</v>
      </c>
      <c r="R6" s="7" t="s">
        <v>35</v>
      </c>
      <c r="S6" s="11">
        <v>2</v>
      </c>
      <c r="T6" s="57">
        <v>0</v>
      </c>
      <c r="U6" s="5">
        <f t="shared" si="0"/>
        <v>75</v>
      </c>
      <c r="V6" s="5"/>
      <c r="W6" s="5"/>
      <c r="X6" s="67">
        <f t="shared" si="5"/>
        <v>75</v>
      </c>
      <c r="Y6" s="60">
        <f t="shared" si="6"/>
        <v>1925</v>
      </c>
      <c r="AA6" s="72"/>
      <c r="AB6" s="5">
        <f t="shared" si="1"/>
        <v>37.5</v>
      </c>
      <c r="AC6" s="67">
        <f t="shared" si="1"/>
        <v>37.5</v>
      </c>
      <c r="AD6" s="75">
        <f t="shared" si="7"/>
        <v>75</v>
      </c>
    </row>
    <row r="7" spans="1:31" x14ac:dyDescent="0.25">
      <c r="A7" s="10" t="s">
        <v>28</v>
      </c>
      <c r="B7" s="3">
        <v>33511</v>
      </c>
      <c r="C7" s="34" t="s">
        <v>26</v>
      </c>
      <c r="D7" s="37"/>
      <c r="E7" s="5">
        <v>3500</v>
      </c>
      <c r="F7" s="5"/>
      <c r="G7" s="5"/>
      <c r="H7" s="5"/>
      <c r="I7" s="11">
        <f t="shared" si="2"/>
        <v>3500</v>
      </c>
      <c r="J7" s="37">
        <f t="shared" si="8"/>
        <v>350</v>
      </c>
      <c r="K7" s="11">
        <f t="shared" si="3"/>
        <v>3150</v>
      </c>
      <c r="L7" s="48">
        <v>45555</v>
      </c>
      <c r="M7" s="49">
        <f>L7+30</f>
        <v>45585</v>
      </c>
      <c r="N7" s="50">
        <v>45597</v>
      </c>
      <c r="O7" s="37">
        <v>4</v>
      </c>
      <c r="P7" s="6">
        <f>1/O7</f>
        <v>0.25</v>
      </c>
      <c r="Q7" s="5">
        <f t="shared" si="4"/>
        <v>48</v>
      </c>
      <c r="R7" s="7" t="s">
        <v>35</v>
      </c>
      <c r="S7" s="11">
        <v>2</v>
      </c>
      <c r="T7" s="57">
        <v>0</v>
      </c>
      <c r="U7" s="5">
        <f t="shared" si="0"/>
        <v>131.25</v>
      </c>
      <c r="V7" s="5"/>
      <c r="W7" s="5"/>
      <c r="X7" s="67">
        <f t="shared" si="5"/>
        <v>131.25</v>
      </c>
      <c r="Y7" s="60">
        <f t="shared" si="6"/>
        <v>3368.75</v>
      </c>
      <c r="AA7" s="72"/>
      <c r="AB7" s="5">
        <f t="shared" si="1"/>
        <v>65.625</v>
      </c>
      <c r="AC7" s="67">
        <f t="shared" si="1"/>
        <v>65.625</v>
      </c>
      <c r="AD7" s="75">
        <f t="shared" si="7"/>
        <v>131.25</v>
      </c>
    </row>
    <row r="8" spans="1:31" x14ac:dyDescent="0.25">
      <c r="A8" s="10" t="s">
        <v>29</v>
      </c>
      <c r="B8" s="3">
        <v>33411</v>
      </c>
      <c r="C8" s="34" t="s">
        <v>30</v>
      </c>
      <c r="D8" s="37"/>
      <c r="E8" s="5">
        <v>30000</v>
      </c>
      <c r="F8" s="5"/>
      <c r="G8" s="5"/>
      <c r="H8" s="5"/>
      <c r="I8" s="11">
        <f t="shared" si="2"/>
        <v>30000</v>
      </c>
      <c r="J8" s="37">
        <f>0.2*I8</f>
        <v>6000</v>
      </c>
      <c r="K8" s="11">
        <f t="shared" si="3"/>
        <v>24000</v>
      </c>
      <c r="L8" s="48">
        <v>45573</v>
      </c>
      <c r="M8" s="49">
        <f>L8+15</f>
        <v>45588</v>
      </c>
      <c r="N8" s="50">
        <v>45597</v>
      </c>
      <c r="O8" s="54">
        <v>0</v>
      </c>
      <c r="P8" s="8">
        <v>0</v>
      </c>
      <c r="Q8" s="5">
        <v>100000</v>
      </c>
      <c r="R8" s="7" t="s">
        <v>36</v>
      </c>
      <c r="S8" s="11">
        <v>8000</v>
      </c>
      <c r="T8" s="57">
        <v>0</v>
      </c>
      <c r="U8" s="5">
        <f>K8*S8/Q8</f>
        <v>1920</v>
      </c>
      <c r="V8" s="5"/>
      <c r="W8" s="5"/>
      <c r="X8" s="67">
        <f t="shared" si="5"/>
        <v>1920</v>
      </c>
      <c r="Y8" s="60">
        <f t="shared" si="6"/>
        <v>28080</v>
      </c>
      <c r="AA8" s="72"/>
      <c r="AB8" s="69">
        <f>($S$8/$Q$8)/2*$K$8</f>
        <v>960</v>
      </c>
      <c r="AC8" s="69">
        <f>($S$8/$Q$8)/2*$K$8</f>
        <v>960</v>
      </c>
      <c r="AD8" s="75">
        <f t="shared" si="7"/>
        <v>1920</v>
      </c>
      <c r="AE8" s="77" t="s">
        <v>54</v>
      </c>
    </row>
    <row r="9" spans="1:31" x14ac:dyDescent="0.25">
      <c r="A9" s="10" t="s">
        <v>40</v>
      </c>
      <c r="B9" s="3">
        <v>33311</v>
      </c>
      <c r="C9" s="34" t="s">
        <v>37</v>
      </c>
      <c r="D9" s="37"/>
      <c r="E9" s="5">
        <v>3000</v>
      </c>
      <c r="F9" s="5"/>
      <c r="G9" s="5"/>
      <c r="H9" s="5"/>
      <c r="I9" s="11">
        <f t="shared" si="2"/>
        <v>3000</v>
      </c>
      <c r="J9" s="37">
        <f>0.03*I9</f>
        <v>90</v>
      </c>
      <c r="K9" s="11">
        <f t="shared" si="3"/>
        <v>2910</v>
      </c>
      <c r="L9" s="48">
        <v>45580</v>
      </c>
      <c r="M9" s="49">
        <f>L9+21</f>
        <v>45601</v>
      </c>
      <c r="N9" s="50">
        <v>45627</v>
      </c>
      <c r="O9" s="37">
        <v>10</v>
      </c>
      <c r="P9" s="6">
        <f>1/O9</f>
        <v>0.1</v>
      </c>
      <c r="Q9" s="5">
        <f t="shared" si="4"/>
        <v>120</v>
      </c>
      <c r="R9" s="7" t="s">
        <v>35</v>
      </c>
      <c r="S9" s="11">
        <v>1</v>
      </c>
      <c r="T9" s="57">
        <v>0</v>
      </c>
      <c r="U9" s="5">
        <f t="shared" ref="U9:U12" si="9">K9*S9/Q9</f>
        <v>24.25</v>
      </c>
      <c r="V9" s="5"/>
      <c r="W9" s="5"/>
      <c r="X9" s="67">
        <f t="shared" si="5"/>
        <v>24.25</v>
      </c>
      <c r="Y9" s="60">
        <f t="shared" si="6"/>
        <v>2975.75</v>
      </c>
      <c r="AA9" s="72"/>
      <c r="AB9" s="4"/>
      <c r="AC9" s="67">
        <f t="shared" si="1"/>
        <v>24.25</v>
      </c>
      <c r="AD9" s="75">
        <f t="shared" si="7"/>
        <v>24.25</v>
      </c>
    </row>
    <row r="10" spans="1:31" x14ac:dyDescent="0.25">
      <c r="A10" s="10" t="s">
        <v>42</v>
      </c>
      <c r="B10" s="3">
        <v>33311</v>
      </c>
      <c r="C10" s="34" t="s">
        <v>43</v>
      </c>
      <c r="D10" s="37"/>
      <c r="E10" s="5">
        <v>4000</v>
      </c>
      <c r="F10" s="5"/>
      <c r="G10" s="5"/>
      <c r="H10" s="5"/>
      <c r="I10" s="11">
        <f t="shared" si="2"/>
        <v>4000</v>
      </c>
      <c r="J10" s="37">
        <f>0.03*I10</f>
        <v>120</v>
      </c>
      <c r="K10" s="11">
        <f t="shared" si="3"/>
        <v>3880</v>
      </c>
      <c r="L10" s="48">
        <v>45580</v>
      </c>
      <c r="M10" s="49">
        <f>L10+21</f>
        <v>45601</v>
      </c>
      <c r="N10" s="50">
        <v>45627</v>
      </c>
      <c r="O10" s="37">
        <v>10</v>
      </c>
      <c r="P10" s="6">
        <f>1/O10</f>
        <v>0.1</v>
      </c>
      <c r="Q10" s="5">
        <f t="shared" si="4"/>
        <v>120</v>
      </c>
      <c r="R10" s="7" t="s">
        <v>35</v>
      </c>
      <c r="S10" s="11">
        <v>1</v>
      </c>
      <c r="T10" s="57">
        <v>0</v>
      </c>
      <c r="U10" s="5">
        <f t="shared" si="9"/>
        <v>32.333333333333336</v>
      </c>
      <c r="V10" s="5"/>
      <c r="W10" s="5"/>
      <c r="X10" s="67">
        <f t="shared" si="5"/>
        <v>32.333333333333336</v>
      </c>
      <c r="Y10" s="60">
        <f t="shared" si="6"/>
        <v>3967.6666666666665</v>
      </c>
      <c r="AA10" s="72"/>
      <c r="AB10" s="4"/>
      <c r="AC10" s="67">
        <f t="shared" si="1"/>
        <v>32.333333333333336</v>
      </c>
      <c r="AD10" s="75">
        <f t="shared" si="7"/>
        <v>32.333333333333336</v>
      </c>
    </row>
    <row r="11" spans="1:31" x14ac:dyDescent="0.25">
      <c r="A11" s="10" t="s">
        <v>44</v>
      </c>
      <c r="B11" s="3">
        <v>33691</v>
      </c>
      <c r="C11" s="34" t="s">
        <v>46</v>
      </c>
      <c r="D11" s="37"/>
      <c r="E11" s="5">
        <v>5000</v>
      </c>
      <c r="F11" s="5"/>
      <c r="G11" s="5"/>
      <c r="H11" s="5"/>
      <c r="I11" s="11">
        <f t="shared" si="2"/>
        <v>5000</v>
      </c>
      <c r="J11" s="37">
        <f>0.03*I11</f>
        <v>150</v>
      </c>
      <c r="K11" s="11">
        <f t="shared" si="3"/>
        <v>4850</v>
      </c>
      <c r="L11" s="48">
        <v>45580</v>
      </c>
      <c r="M11" s="49">
        <f>L11+21</f>
        <v>45601</v>
      </c>
      <c r="N11" s="50">
        <v>45627</v>
      </c>
      <c r="O11" s="37">
        <v>10</v>
      </c>
      <c r="P11" s="6">
        <f>1/O11</f>
        <v>0.1</v>
      </c>
      <c r="Q11" s="5">
        <f t="shared" si="4"/>
        <v>120</v>
      </c>
      <c r="R11" s="7" t="s">
        <v>35</v>
      </c>
      <c r="S11" s="11">
        <v>1</v>
      </c>
      <c r="T11" s="57">
        <v>0</v>
      </c>
      <c r="U11" s="5">
        <f t="shared" si="9"/>
        <v>40.416666666666664</v>
      </c>
      <c r="V11" s="5"/>
      <c r="W11" s="5"/>
      <c r="X11" s="67">
        <f t="shared" si="5"/>
        <v>40.416666666666664</v>
      </c>
      <c r="Y11" s="60">
        <f t="shared" si="6"/>
        <v>4959.583333333333</v>
      </c>
      <c r="AA11" s="72"/>
      <c r="AB11" s="4"/>
      <c r="AC11" s="67">
        <f t="shared" si="1"/>
        <v>40.416666666666664</v>
      </c>
      <c r="AD11" s="75">
        <f t="shared" si="7"/>
        <v>40.416666666666664</v>
      </c>
    </row>
    <row r="12" spans="1:31" ht="15.75" thickBot="1" x14ac:dyDescent="0.3">
      <c r="A12" s="12" t="s">
        <v>45</v>
      </c>
      <c r="B12" s="13">
        <v>33611</v>
      </c>
      <c r="C12" s="35" t="s">
        <v>47</v>
      </c>
      <c r="D12" s="38"/>
      <c r="E12" s="14">
        <v>5000</v>
      </c>
      <c r="F12" s="14"/>
      <c r="G12" s="14">
        <v>-5000</v>
      </c>
      <c r="H12" s="14"/>
      <c r="I12" s="15">
        <f t="shared" si="2"/>
        <v>0</v>
      </c>
      <c r="J12" s="38">
        <v>0</v>
      </c>
      <c r="K12" s="15">
        <f t="shared" si="3"/>
        <v>5000</v>
      </c>
      <c r="L12" s="51">
        <v>45585</v>
      </c>
      <c r="M12" s="52">
        <f>L12+0</f>
        <v>45585</v>
      </c>
      <c r="N12" s="53">
        <v>45597</v>
      </c>
      <c r="O12" s="38">
        <v>2</v>
      </c>
      <c r="P12" s="28">
        <f>1/O12</f>
        <v>0.5</v>
      </c>
      <c r="Q12" s="14">
        <f t="shared" si="4"/>
        <v>24</v>
      </c>
      <c r="R12" s="29" t="s">
        <v>35</v>
      </c>
      <c r="S12" s="15">
        <v>2</v>
      </c>
      <c r="T12" s="58">
        <v>0</v>
      </c>
      <c r="U12" s="14">
        <f t="shared" si="9"/>
        <v>416.66666666666669</v>
      </c>
      <c r="V12" s="14">
        <f>-U12</f>
        <v>-416.66666666666669</v>
      </c>
      <c r="W12" s="14"/>
      <c r="X12" s="68">
        <f t="shared" si="5"/>
        <v>0</v>
      </c>
      <c r="Y12" s="61">
        <f t="shared" si="6"/>
        <v>0</v>
      </c>
      <c r="AA12" s="73"/>
      <c r="AB12" s="14">
        <f t="shared" ref="AB12:AC12" si="10">$K12/$Q12</f>
        <v>208.33333333333334</v>
      </c>
      <c r="AC12" s="68">
        <f t="shared" si="10"/>
        <v>208.33333333333334</v>
      </c>
      <c r="AD12" s="76">
        <f t="shared" si="7"/>
        <v>416.66666666666669</v>
      </c>
    </row>
    <row r="13" spans="1:31" s="30" customFormat="1" x14ac:dyDescent="0.25">
      <c r="A13" s="62"/>
      <c r="B13" s="63"/>
      <c r="C13" s="31" t="s">
        <v>49</v>
      </c>
      <c r="D13" s="32">
        <f>SUM(D4:D12)</f>
        <v>0</v>
      </c>
      <c r="E13" s="32">
        <f>SUM(E4:E12)</f>
        <v>65000</v>
      </c>
      <c r="F13" s="32">
        <f t="shared" ref="F13:I13" si="11">SUM(F4:F12)</f>
        <v>0</v>
      </c>
      <c r="G13" s="32">
        <f t="shared" si="11"/>
        <v>-5000</v>
      </c>
      <c r="H13" s="32">
        <f t="shared" si="11"/>
        <v>0</v>
      </c>
      <c r="I13" s="32">
        <f t="shared" si="11"/>
        <v>60000</v>
      </c>
      <c r="J13" s="32"/>
      <c r="K13" s="32"/>
      <c r="L13" s="64"/>
      <c r="M13" s="64"/>
      <c r="N13" s="64"/>
      <c r="O13" s="32"/>
      <c r="P13" s="32"/>
      <c r="Q13" s="32"/>
      <c r="R13" s="65"/>
      <c r="S13" s="32"/>
      <c r="T13" s="32">
        <f t="shared" ref="T13:AD13" si="12">SUM(T4:T12)</f>
        <v>0</v>
      </c>
      <c r="U13" s="32">
        <f t="shared" si="12"/>
        <v>3567</v>
      </c>
      <c r="V13" s="32">
        <f t="shared" si="12"/>
        <v>-416.66666666666669</v>
      </c>
      <c r="W13" s="32">
        <f t="shared" si="12"/>
        <v>0</v>
      </c>
      <c r="X13" s="32">
        <f t="shared" si="12"/>
        <v>3150.3333333333335</v>
      </c>
      <c r="Y13" s="32">
        <f t="shared" si="12"/>
        <v>56849.666666666664</v>
      </c>
      <c r="AA13" s="32">
        <f t="shared" si="12"/>
        <v>277.77777777777777</v>
      </c>
      <c r="AB13" s="32">
        <f t="shared" si="12"/>
        <v>1596.1111111111111</v>
      </c>
      <c r="AC13" s="32">
        <f t="shared" si="12"/>
        <v>1693.1111111111111</v>
      </c>
      <c r="AD13" s="32">
        <f t="shared" si="12"/>
        <v>3566.9999999999995</v>
      </c>
    </row>
    <row r="15" spans="1:31" x14ac:dyDescent="0.25">
      <c r="B15" s="79" t="s">
        <v>62</v>
      </c>
      <c r="AA15" s="79" t="s">
        <v>56</v>
      </c>
    </row>
    <row r="17" spans="1:15" x14ac:dyDescent="0.25">
      <c r="A17" s="80" t="s">
        <v>57</v>
      </c>
    </row>
    <row r="18" spans="1:15" x14ac:dyDescent="0.25">
      <c r="J18" s="81" t="s">
        <v>59</v>
      </c>
      <c r="K18" s="81" t="s">
        <v>60</v>
      </c>
      <c r="O18" s="82" t="s">
        <v>64</v>
      </c>
    </row>
    <row r="19" spans="1:15" x14ac:dyDescent="0.25">
      <c r="A19" s="80" t="s">
        <v>50</v>
      </c>
    </row>
    <row r="20" spans="1:15" x14ac:dyDescent="0.25">
      <c r="A20">
        <v>395</v>
      </c>
      <c r="B20" t="s">
        <v>58</v>
      </c>
      <c r="J20" s="2">
        <f>AA13</f>
        <v>277.77777777777777</v>
      </c>
      <c r="O20" s="77">
        <v>1</v>
      </c>
    </row>
    <row r="21" spans="1:15" x14ac:dyDescent="0.25">
      <c r="A21">
        <v>684</v>
      </c>
      <c r="B21" t="s">
        <v>66</v>
      </c>
      <c r="K21" s="2">
        <f>J20</f>
        <v>277.77777777777777</v>
      </c>
    </row>
    <row r="23" spans="1:15" x14ac:dyDescent="0.25">
      <c r="A23">
        <v>95</v>
      </c>
      <c r="B23" t="s">
        <v>61</v>
      </c>
      <c r="J23" s="2">
        <f>J20</f>
        <v>277.77777777777777</v>
      </c>
      <c r="O23" s="77">
        <v>1</v>
      </c>
    </row>
    <row r="24" spans="1:15" x14ac:dyDescent="0.25">
      <c r="A24">
        <v>79</v>
      </c>
      <c r="B24" t="s">
        <v>63</v>
      </c>
      <c r="K24" s="2">
        <f>J23</f>
        <v>277.77777777777777</v>
      </c>
    </row>
    <row r="26" spans="1:15" x14ac:dyDescent="0.25">
      <c r="A26" s="80" t="s">
        <v>51</v>
      </c>
    </row>
    <row r="27" spans="1:15" x14ac:dyDescent="0.25">
      <c r="A27">
        <v>395</v>
      </c>
      <c r="B27" t="s">
        <v>58</v>
      </c>
      <c r="J27" s="2">
        <f>AB13</f>
        <v>1596.1111111111111</v>
      </c>
      <c r="O27" s="77">
        <v>1</v>
      </c>
    </row>
    <row r="28" spans="1:15" x14ac:dyDescent="0.25">
      <c r="A28">
        <v>684</v>
      </c>
      <c r="B28" t="s">
        <v>66</v>
      </c>
      <c r="K28" s="2">
        <f>J27</f>
        <v>1596.1111111111111</v>
      </c>
    </row>
    <row r="30" spans="1:15" x14ac:dyDescent="0.25">
      <c r="A30">
        <v>95</v>
      </c>
      <c r="B30" t="s">
        <v>61</v>
      </c>
      <c r="J30" s="2">
        <f>J27</f>
        <v>1596.1111111111111</v>
      </c>
      <c r="O30" s="77">
        <v>1</v>
      </c>
    </row>
    <row r="31" spans="1:15" x14ac:dyDescent="0.25">
      <c r="A31">
        <v>79</v>
      </c>
      <c r="B31" t="s">
        <v>63</v>
      </c>
      <c r="K31" s="2">
        <f>J30</f>
        <v>1596.1111111111111</v>
      </c>
    </row>
    <row r="33" spans="1:15" x14ac:dyDescent="0.25">
      <c r="A33" s="80" t="s">
        <v>52</v>
      </c>
    </row>
    <row r="34" spans="1:15" x14ac:dyDescent="0.25">
      <c r="A34">
        <v>395</v>
      </c>
      <c r="B34" t="s">
        <v>58</v>
      </c>
      <c r="J34" s="2">
        <f>AC13</f>
        <v>1693.1111111111111</v>
      </c>
      <c r="O34" s="77">
        <v>1</v>
      </c>
    </row>
    <row r="35" spans="1:15" x14ac:dyDescent="0.25">
      <c r="A35">
        <v>684</v>
      </c>
      <c r="B35" t="s">
        <v>66</v>
      </c>
      <c r="K35" s="2">
        <f>J34</f>
        <v>1693.1111111111111</v>
      </c>
    </row>
    <row r="37" spans="1:15" x14ac:dyDescent="0.25">
      <c r="A37">
        <v>95</v>
      </c>
      <c r="B37" t="s">
        <v>61</v>
      </c>
      <c r="J37" s="2">
        <f>J34</f>
        <v>1693.1111111111111</v>
      </c>
      <c r="O37" s="77">
        <v>1</v>
      </c>
    </row>
    <row r="38" spans="1:15" x14ac:dyDescent="0.25">
      <c r="A38">
        <v>79</v>
      </c>
      <c r="B38" t="s">
        <v>63</v>
      </c>
      <c r="K38" s="2">
        <f>J37</f>
        <v>1693.1111111111111</v>
      </c>
    </row>
    <row r="40" spans="1:15" x14ac:dyDescent="0.25">
      <c r="O40" s="89">
        <f>SUM(O20:O38)</f>
        <v>6</v>
      </c>
    </row>
  </sheetData>
  <mergeCells count="1">
    <mergeCell ref="AA1:A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Pregunta 1</vt:lpstr>
      <vt:lpstr>Pregunta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Cabezas</dc:creator>
  <cp:lastModifiedBy>Manuel Cabezas</cp:lastModifiedBy>
  <dcterms:created xsi:type="dcterms:W3CDTF">2024-05-31T21:36:51Z</dcterms:created>
  <dcterms:modified xsi:type="dcterms:W3CDTF">2024-06-04T19:27:26Z</dcterms:modified>
</cp:coreProperties>
</file>