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\Desktop\dissertation_new\"/>
    </mc:Choice>
  </mc:AlternateContent>
  <xr:revisionPtr revIDLastSave="0" documentId="13_ncr:1_{9DFA83B6-5537-48B1-A0C9-B81E33FBCB79}" xr6:coauthVersionLast="47" xr6:coauthVersionMax="47" xr10:uidLastSave="{00000000-0000-0000-0000-000000000000}"/>
  <bookViews>
    <workbookView xWindow="-96" yWindow="-96" windowWidth="19392" windowHeight="10392" xr2:uid="{87354C5E-3CBA-4E11-BB99-6AC676F7AA18}"/>
  </bookViews>
  <sheets>
    <sheet name="assumptions" sheetId="9" r:id="rId1"/>
    <sheet name="computation" sheetId="10" r:id="rId2"/>
    <sheet name="model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0" l="1"/>
  <c r="P6" i="10"/>
  <c r="P7" i="10"/>
  <c r="E28" i="10" s="1"/>
  <c r="C27" i="10"/>
  <c r="C11" i="9"/>
  <c r="D16" i="11" s="1"/>
  <c r="D23" i="10"/>
  <c r="H11" i="11" s="1"/>
  <c r="D22" i="10"/>
  <c r="H10" i="11" s="1"/>
  <c r="D21" i="10"/>
  <c r="H9" i="11" s="1"/>
  <c r="D20" i="10"/>
  <c r="H8" i="11" s="1"/>
  <c r="C13" i="10"/>
  <c r="M12" i="10"/>
  <c r="F12" i="10"/>
  <c r="C12" i="10"/>
  <c r="M11" i="10"/>
  <c r="F11" i="10"/>
  <c r="C11" i="10"/>
  <c r="M10" i="10"/>
  <c r="J10" i="10"/>
  <c r="F10" i="10"/>
  <c r="C10" i="10"/>
  <c r="M9" i="10"/>
  <c r="F9" i="10"/>
  <c r="C9" i="10"/>
  <c r="M8" i="10"/>
  <c r="F8" i="10"/>
  <c r="C8" i="10"/>
  <c r="M7" i="10"/>
  <c r="F7" i="10"/>
  <c r="C7" i="10"/>
  <c r="M6" i="10"/>
  <c r="F6" i="10"/>
  <c r="C6" i="10"/>
  <c r="D27" i="10"/>
  <c r="M5" i="10"/>
  <c r="F5" i="10"/>
  <c r="C5" i="10"/>
  <c r="P4" i="10"/>
  <c r="M4" i="10"/>
  <c r="F4" i="10"/>
  <c r="C4" i="10"/>
  <c r="M3" i="10"/>
  <c r="F3" i="10"/>
  <c r="C3" i="10"/>
  <c r="J30" i="9"/>
  <c r="N15" i="9" s="1"/>
  <c r="J14" i="10" s="1"/>
  <c r="C25" i="9"/>
  <c r="N14" i="9"/>
  <c r="J13" i="10" s="1"/>
  <c r="N13" i="9"/>
  <c r="J12" i="10" s="1"/>
  <c r="N12" i="9"/>
  <c r="J11" i="10" s="1"/>
  <c r="N11" i="9"/>
  <c r="N10" i="9"/>
  <c r="J9" i="10" s="1"/>
  <c r="N9" i="9"/>
  <c r="J8" i="10" s="1"/>
  <c r="F9" i="9"/>
  <c r="N8" i="9"/>
  <c r="J7" i="10" s="1"/>
  <c r="F8" i="9"/>
  <c r="N7" i="9"/>
  <c r="J6" i="10" s="1"/>
  <c r="F7" i="9"/>
  <c r="N6" i="9"/>
  <c r="J5" i="10" s="1"/>
  <c r="F6" i="9"/>
  <c r="N5" i="9"/>
  <c r="J4" i="10" s="1"/>
  <c r="F5" i="9"/>
  <c r="N4" i="9"/>
  <c r="J3" i="10" s="1"/>
  <c r="D5" i="11" l="1"/>
  <c r="D9" i="11"/>
  <c r="D13" i="11"/>
  <c r="D17" i="11"/>
  <c r="D6" i="11"/>
  <c r="D10" i="11"/>
  <c r="D14" i="11"/>
  <c r="Q5" i="10"/>
  <c r="Q7" i="10"/>
  <c r="D7" i="11"/>
  <c r="D11" i="11"/>
  <c r="D15" i="11"/>
  <c r="D8" i="11"/>
  <c r="D12" i="11"/>
  <c r="D29" i="10"/>
  <c r="C14" i="10"/>
  <c r="C28" i="10" s="1"/>
  <c r="D28" i="10"/>
  <c r="E22" i="10" s="1"/>
  <c r="E27" i="10"/>
  <c r="C29" i="10"/>
  <c r="E29" i="10"/>
  <c r="E23" i="10" s="1"/>
  <c r="Q4" i="10"/>
  <c r="Q6" i="10"/>
  <c r="E20" i="10"/>
  <c r="I8" i="11" s="1"/>
  <c r="I11" i="11" l="1"/>
  <c r="E21" i="10"/>
  <c r="I9" i="11" s="1"/>
  <c r="D33" i="10"/>
  <c r="I10" i="11"/>
  <c r="D31" i="10"/>
  <c r="C31" i="10"/>
  <c r="F20" i="10"/>
  <c r="C32" i="10"/>
  <c r="F21" i="10" s="1"/>
  <c r="C33" i="10"/>
  <c r="E33" i="10"/>
  <c r="E31" i="10"/>
  <c r="E32" i="10"/>
  <c r="F23" i="10" s="1"/>
  <c r="D32" i="10"/>
  <c r="F22" i="10" s="1"/>
  <c r="J9" i="11" l="1"/>
  <c r="K9" i="11" s="1"/>
  <c r="G21" i="10"/>
  <c r="J11" i="11"/>
  <c r="K11" i="11" s="1"/>
  <c r="G23" i="10"/>
  <c r="J8" i="11"/>
  <c r="K8" i="11" s="1"/>
  <c r="G20" i="10"/>
  <c r="J10" i="11"/>
  <c r="K10" i="11" s="1"/>
  <c r="G2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Clare</author>
  </authors>
  <commentList>
    <comment ref="I3" authorId="0" shapeId="0" xr:uid="{A958F974-6364-4A7B-90EB-C5648905007B}">
      <text>
        <r>
          <rPr>
            <b/>
            <sz val="9"/>
            <color indexed="81"/>
            <rFont val="Tahoma"/>
            <family val="2"/>
          </rPr>
          <t>Clare:</t>
        </r>
        <r>
          <rPr>
            <sz val="9"/>
            <color indexed="81"/>
            <rFont val="Tahoma"/>
            <family val="2"/>
          </rPr>
          <t xml:space="preserve">
data.census.gov
B25075
</t>
        </r>
      </text>
    </comment>
    <comment ref="B4" authorId="0" shapeId="0" xr:uid="{63F9882E-1E96-4E3F-81B5-FC2CB83D83D8}">
      <text>
        <r>
          <rPr>
            <b/>
            <sz val="9"/>
            <color indexed="81"/>
            <rFont val="Tahoma"/>
            <family val="2"/>
          </rPr>
          <t>Clare:</t>
        </r>
        <r>
          <rPr>
            <sz val="9"/>
            <color indexed="81"/>
            <rFont val="Tahoma"/>
            <family val="2"/>
          </rPr>
          <t xml:space="preserve">
Conventional
FHA
VA
RHS
</t>
        </r>
      </text>
    </comment>
    <comment ref="B13" authorId="0" shapeId="0" xr:uid="{3974B275-207D-4A60-AE17-494B608D3A19}">
      <text>
        <r>
          <rPr>
            <b/>
            <sz val="9"/>
            <color indexed="81"/>
            <rFont val="Tahoma"/>
            <family val="2"/>
          </rPr>
          <t>Clare:</t>
        </r>
        <r>
          <rPr>
            <sz val="9"/>
            <color indexed="81"/>
            <rFont val="Tahoma"/>
            <family val="2"/>
          </rPr>
          <t xml:space="preserve">
data.census.gov
Table S2503</t>
        </r>
      </text>
    </comment>
  </commentList>
</comments>
</file>

<file path=xl/sharedStrings.xml><?xml version="1.0" encoding="utf-8"?>
<sst xmlns="http://schemas.openxmlformats.org/spreadsheetml/2006/main" count="121" uniqueCount="78">
  <si>
    <t>Mortgage Interest Rate</t>
  </si>
  <si>
    <t>Loan Term (in Months)</t>
  </si>
  <si>
    <t>Loan Type</t>
  </si>
  <si>
    <t>Loan-to-Value (LTV) Ratio</t>
  </si>
  <si>
    <t>Debt-to-Income (DTI) Ratio</t>
  </si>
  <si>
    <t>Home Price-to-Income Multiplier</t>
  </si>
  <si>
    <t>Property Taxes &amp; Insurance</t>
  </si>
  <si>
    <t>Private Mortgage Insurance</t>
  </si>
  <si>
    <t>FHA Upfront Fee</t>
  </si>
  <si>
    <t>FHA Annual Fee</t>
  </si>
  <si>
    <t>VA Funding Fee</t>
  </si>
  <si>
    <t>RHS Funding Fee</t>
  </si>
  <si>
    <t>Maximum Home Price Affordable</t>
  </si>
  <si>
    <t xml:space="preserve">Income </t>
  </si>
  <si>
    <t>Assumptions: Mortgage Financing</t>
  </si>
  <si>
    <t>Assumptions: Household Income</t>
  </si>
  <si>
    <t>Income Cohort</t>
  </si>
  <si>
    <t>Income Range</t>
  </si>
  <si>
    <t>Demand</t>
  </si>
  <si>
    <t>Supply</t>
  </si>
  <si>
    <t>Over(under) supply</t>
  </si>
  <si>
    <t>Extremely Low Income</t>
  </si>
  <si>
    <t>Very Low Income</t>
  </si>
  <si>
    <t>Low Income</t>
  </si>
  <si>
    <t>Moderate Income</t>
  </si>
  <si>
    <t>Assumptions: Home Value</t>
  </si>
  <si>
    <t>Total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</si>
  <si>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</si>
  <si>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</si>
  <si>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</si>
  <si>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</si>
  <si>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</si>
  <si>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</si>
  <si>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</si>
  <si>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</si>
  <si>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</si>
  <si>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</si>
  <si>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or more</t>
  </si>
  <si>
    <t>Less than $10,000</t>
  </si>
  <si>
    <t>$25,000 to $29,999</t>
  </si>
  <si>
    <t>$30,000 to $34,999</t>
  </si>
  <si>
    <t>$35,000 to $39,999</t>
  </si>
  <si>
    <t>$40,000 to $49,999</t>
  </si>
  <si>
    <t>$50,000 to $59,999</t>
  </si>
  <si>
    <t>$60,000 to $69,999</t>
  </si>
  <si>
    <t>$70,000 to $79,999</t>
  </si>
  <si>
    <t>$80,000 to $89,999</t>
  </si>
  <si>
    <t>$90,000 to $99,999</t>
  </si>
  <si>
    <t>$100,000 to $124,999</t>
  </si>
  <si>
    <t>$125,000 to $149,999</t>
  </si>
  <si>
    <t>$150,000 to $174,999</t>
  </si>
  <si>
    <t>$175,000 to $199,999</t>
  </si>
  <si>
    <t>$200,000 to $249,999</t>
  </si>
  <si>
    <t>$300,000 to $399,999</t>
  </si>
  <si>
    <t>$400,000 to $499,999</t>
  </si>
  <si>
    <t>$500,000 to $749,999</t>
  </si>
  <si>
    <t>$250,000 to $299,999</t>
  </si>
  <si>
    <t>$750,000 to $999,999</t>
  </si>
  <si>
    <t>$1,000,000 to $1,499,999</t>
  </si>
  <si>
    <t>$1,500,000 to $1,999,999</t>
  </si>
  <si>
    <t>$2,000,000 or more</t>
  </si>
  <si>
    <t>HUD Income Limits</t>
  </si>
  <si>
    <t>Mocerate Income</t>
  </si>
  <si>
    <t>Home Price</t>
  </si>
  <si>
    <t>Household Income</t>
  </si>
  <si>
    <t>$0 - $69,999</t>
  </si>
  <si>
    <t>$70,000 - $99,999</t>
  </si>
  <si>
    <t>$100,000 - $149,999</t>
  </si>
  <si>
    <t>$150,000 - $199,999</t>
  </si>
  <si>
    <t>$200,000 - $249,999</t>
  </si>
  <si>
    <t>$250,000 - $299,999</t>
  </si>
  <si>
    <t>$300,000 - $399,999</t>
  </si>
  <si>
    <t>$400,000 - $499,999</t>
  </si>
  <si>
    <t>$500,000 - $749,999</t>
  </si>
  <si>
    <t>$750,000 - $999,999</t>
  </si>
  <si>
    <t>$1,000,000 +</t>
  </si>
  <si>
    <t>Income</t>
  </si>
  <si>
    <t>FHA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</si>
</sst>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  <numFmt numFmtId="167" formatCode="_(* #,##0.000_);_(* \(#,##0.000\);_(* &quot;-&quot;??_);_(@_)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165" fontId="0" fillId="0" borderId="1" xfId="2" applyNumberFormat="1" applyFont="1" applyBorder="1"/>
    <xf numFmtId="165" fontId="0" fillId="0" borderId="1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2" xfId="0" applyFont="1" applyBorder="1"/>
    <xf numFmtId="0" fontId="1" fillId="0" borderId="4" xfId="0" applyFont="1" applyBorder="1" applyAlignment="1">
      <alignment wrapText="1"/>
    </xf>
    <xf numFmtId="166" fontId="0" fillId="0" borderId="0" xfId="0" applyNumberFormat="1"/>
    <xf numFmtId="0" fontId="0" fillId="0" borderId="0" xfId="0" applyBorder="1"/>
    <xf numFmtId="165" fontId="0" fillId="0" borderId="0" xfId="2" applyNumberFormat="1" applyFont="1" applyBorder="1"/>
    <xf numFmtId="165" fontId="0" fillId="0" borderId="0" xfId="0" applyNumberFormat="1" applyBorder="1"/>
    <xf numFmtId="164" fontId="0" fillId="0" borderId="0" xfId="0" applyNumberFormat="1"/>
    <xf numFmtId="167" fontId="0" fillId="0" borderId="0" xfId="0" applyNumberFormat="1"/>
    <xf numFmtId="0" fontId="6" fillId="0" borderId="0" xfId="0" applyFont="1" applyFill="1" applyAlignment="1">
      <alignment horizontal="right" vertical="top"/>
    </xf>
    <xf numFmtId="166" fontId="6" fillId="0" borderId="0" xfId="0" applyNumberFormat="1" applyFont="1"/>
    <xf numFmtId="0" fontId="6" fillId="0" borderId="0" xfId="0" applyFont="1"/>
    <xf numFmtId="0" fontId="5" fillId="2" borderId="2" xfId="0" applyFont="1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5" xfId="0" applyFon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5" xfId="0" applyFill="1" applyBorder="1"/>
    <xf numFmtId="9" fontId="0" fillId="2" borderId="6" xfId="0" applyNumberForma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166" fontId="0" fillId="2" borderId="6" xfId="1" applyNumberFormat="1" applyFont="1" applyFill="1" applyBorder="1"/>
    <xf numFmtId="166" fontId="0" fillId="2" borderId="8" xfId="1" applyNumberFormat="1" applyFont="1" applyFill="1" applyBorder="1"/>
    <xf numFmtId="0" fontId="5" fillId="2" borderId="2" xfId="0" applyFont="1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166" fontId="0" fillId="2" borderId="6" xfId="1" applyNumberFormat="1" applyFont="1" applyFill="1" applyBorder="1" applyAlignment="1"/>
    <xf numFmtId="0" fontId="0" fillId="2" borderId="7" xfId="0" applyFill="1" applyBorder="1" applyAlignment="1"/>
    <xf numFmtId="166" fontId="0" fillId="2" borderId="8" xfId="1" applyNumberFormat="1" applyFont="1" applyFill="1" applyBorder="1" applyAlignment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 applyAlignment="1"/>
    <xf numFmtId="164" fontId="0" fillId="2" borderId="6" xfId="0" applyNumberFormat="1" applyFill="1" applyBorder="1"/>
    <xf numFmtId="164" fontId="0" fillId="2" borderId="8" xfId="0" applyNumberFormat="1" applyFill="1" applyBorder="1"/>
    <xf numFmtId="0" fontId="0" fillId="0" borderId="0" xfId="0" applyFill="1" applyBorder="1"/>
    <xf numFmtId="8" fontId="0" fillId="0" borderId="0" xfId="0" applyNumberFormat="1" applyFill="1" applyBorder="1"/>
    <xf numFmtId="8" fontId="0" fillId="0" borderId="0" xfId="0" applyNumberFormat="1"/>
    <xf numFmtId="2" fontId="0" fillId="0" borderId="0" xfId="0" applyNumberFormat="1"/>
    <xf numFmtId="0" fontId="0" fillId="2" borderId="3" xfId="0" applyFill="1" applyBorder="1"/>
    <xf numFmtId="164" fontId="0" fillId="2" borderId="1" xfId="0" applyNumberFormat="1" applyFill="1" applyBorder="1"/>
    <xf numFmtId="43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2" applyNumberFormat="1" applyFont="1"/>
    <xf numFmtId="168" fontId="0" fillId="0" borderId="0" xfId="0" applyNumberFormat="1"/>
    <xf numFmtId="164" fontId="0" fillId="0" borderId="0" xfId="2" applyNumberFormat="1" applyFont="1"/>
    <xf numFmtId="9" fontId="0" fillId="0" borderId="0" xfId="0" applyNumberFormat="1"/>
    <xf numFmtId="0" fontId="0" fillId="0" borderId="1" xfId="3" applyNumberFormat="1" applyFont="1" applyBorder="1"/>
    <xf numFmtId="165" fontId="0" fillId="2" borderId="6" xfId="0" applyNumberFormat="1" applyFill="1" applyBorder="1"/>
    <xf numFmtId="10" fontId="0" fillId="2" borderId="6" xfId="0" applyNumberFormat="1" applyFill="1" applyBorder="1"/>
    <xf numFmtId="165" fontId="0" fillId="2" borderId="6" xfId="2" applyNumberFormat="1" applyFont="1" applyFill="1" applyBorder="1"/>
    <xf numFmtId="165" fontId="0" fillId="2" borderId="8" xfId="0" applyNumberForma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650D-FEFD-4238-AB9E-CF0AE21BC534}">
  <dimension ref="B2:N43"/>
  <sheetViews>
    <sheetView tabSelected="1" workbookViewId="0">
      <selection activeCell="E13" sqref="E13"/>
    </sheetView>
  </sheetViews>
  <sheetFormatPr defaultRowHeight="14.4" x14ac:dyDescent="0.55000000000000004"/>
  <cols>
    <col min="2" max="2" width="28.62890625" bestFit="1" customWidth="1"/>
    <col min="3" max="3" width="9.62890625" bestFit="1" customWidth="1"/>
    <col min="5" max="5" width="23.62890625" bestFit="1" customWidth="1"/>
    <col min="9" max="9" width="34.83984375" bestFit="1" customWidth="1"/>
    <col min="10" max="10" width="9.7890625" bestFit="1" customWidth="1"/>
    <col min="13" max="13" width="17.15625" bestFit="1" customWidth="1"/>
  </cols>
  <sheetData>
    <row r="2" spans="2:14" ht="14.7" thickBot="1" x14ac:dyDescent="0.6"/>
    <row r="3" spans="2:14" ht="18.3" x14ac:dyDescent="0.7">
      <c r="B3" s="20" t="s">
        <v>14</v>
      </c>
      <c r="C3" s="21"/>
      <c r="D3" s="22"/>
      <c r="E3" s="23"/>
      <c r="F3" s="21"/>
      <c r="I3" s="20" t="s">
        <v>25</v>
      </c>
      <c r="J3" s="21"/>
    </row>
    <row r="4" spans="2:14" x14ac:dyDescent="0.55000000000000004">
      <c r="B4" s="24" t="s">
        <v>2</v>
      </c>
      <c r="C4" s="25" t="s">
        <v>77</v>
      </c>
      <c r="D4" s="26"/>
      <c r="E4" s="27"/>
      <c r="F4" s="25"/>
      <c r="I4" s="27" t="s">
        <v>38</v>
      </c>
      <c r="J4" s="33">
        <v>329</v>
      </c>
      <c r="M4" s="17" t="s">
        <v>65</v>
      </c>
      <c r="N4" s="18">
        <f>SUM(J4:J13)</f>
        <v>4206</v>
      </c>
    </row>
    <row r="5" spans="2:14" x14ac:dyDescent="0.55000000000000004">
      <c r="B5" s="27" t="s">
        <v>0</v>
      </c>
      <c r="C5" s="61">
        <v>0.04</v>
      </c>
      <c r="D5" s="26"/>
      <c r="E5" s="27" t="s">
        <v>7</v>
      </c>
      <c r="F5" s="28">
        <f>IF(AND(C4="Conventional",C7&gt;80%),"0.75%",0)</f>
        <v>0</v>
      </c>
      <c r="I5" s="27" t="s">
        <v>29</v>
      </c>
      <c r="J5" s="33">
        <v>156</v>
      </c>
      <c r="M5" s="17" t="s">
        <v>66</v>
      </c>
      <c r="N5" s="18">
        <f>SUM(J14:J16)</f>
        <v>2058</v>
      </c>
    </row>
    <row r="6" spans="2:14" x14ac:dyDescent="0.55000000000000004">
      <c r="B6" s="27" t="s">
        <v>1</v>
      </c>
      <c r="C6" s="25">
        <v>360</v>
      </c>
      <c r="D6" s="26"/>
      <c r="E6" s="27" t="s">
        <v>8</v>
      </c>
      <c r="F6" s="29" t="str">
        <f>IF(C4="FHA","1.75%","0%")</f>
        <v>1.75%</v>
      </c>
      <c r="I6" s="27" t="s">
        <v>30</v>
      </c>
      <c r="J6" s="33">
        <v>176</v>
      </c>
      <c r="M6" s="17" t="s">
        <v>67</v>
      </c>
      <c r="N6" s="18">
        <f>SUM(J17:J18)</f>
        <v>2046</v>
      </c>
    </row>
    <row r="7" spans="2:14" x14ac:dyDescent="0.55000000000000004">
      <c r="B7" s="27" t="s">
        <v>3</v>
      </c>
      <c r="C7" s="60">
        <v>0.85</v>
      </c>
      <c r="D7" s="26"/>
      <c r="E7" s="27" t="s">
        <v>9</v>
      </c>
      <c r="F7" s="29" t="str">
        <f>IF(AND(C4="FHA",P2&lt;=625500,C7&lt;=0.9,C6&gt;180),"0.8%",IF(AND(C4="FHA",P2&lt;=625500,C7&gt;0.9,C7&lt;=0.95,C6&gt;180),"0.8%",IF(AND(C4="FHA",P2&lt;=625500,C7&gt;0.95,C6&gt;180),"0.85%",IF(AND(C4="FHA",P2&gt;625500,C7&lt;=0.9,C6&gt;180),"1.0%",IF(AND(C4="FHA",P2&gt;625500,C7&gt;0.9,C7&lt;=0.95,C6&gt;180),"1.0%",IF(AND(C4="FHA",P2&gt;625500,C7&gt;0.95,C6&gt;180),"1.05%",IF(AND(C4="FHA",P2&lt;=625500,C7&lt;=0.9,C6&lt;=180),"0.45%",IF(AND(C4="FHA",P2&lt;=625500,C7&gt;0.9,C6&lt;=180),"0.7%",IF(AND(C4="FHA",P2&gt;625500,C7&lt;=0.78,C6&lt;=180),"0.45%",IF(AND(C4="FHA",P2&gt;625500,C7&gt;0.78,C7&lt;=0.9,C6&lt;=180),"0.7%",IF(AND(C4="FHA",P2&gt;625500,C7&gt;0.9,C6&lt;=180),"0.95%","0%")))))))))))</f>
        <v>0.8%</v>
      </c>
      <c r="I7" s="27" t="s">
        <v>31</v>
      </c>
      <c r="J7" s="33">
        <v>389</v>
      </c>
      <c r="M7" s="17" t="s">
        <v>68</v>
      </c>
      <c r="N7" s="18">
        <f>SUM(J19:J20)</f>
        <v>1487</v>
      </c>
    </row>
    <row r="8" spans="2:14" x14ac:dyDescent="0.55000000000000004">
      <c r="B8" s="27" t="s">
        <v>4</v>
      </c>
      <c r="C8" s="62">
        <v>0.35</v>
      </c>
      <c r="D8" s="26"/>
      <c r="E8" s="27" t="s">
        <v>10</v>
      </c>
      <c r="F8" s="29" t="str">
        <f>IF(AND(C4="VA",C7&gt;0.95),"2.3%",IF(AND(C4="VA",C7&lt;=0.95,C7&gt;0.9),"1.65%",IF(AND(C4="VA",C7&lt;=0.9),"1.4%","0%")))</f>
        <v>0%</v>
      </c>
      <c r="I8" s="27" t="s">
        <v>39</v>
      </c>
      <c r="J8" s="33">
        <v>211</v>
      </c>
      <c r="M8" s="17" t="s">
        <v>69</v>
      </c>
      <c r="N8" s="18">
        <f>SUM(J21)</f>
        <v>517</v>
      </c>
    </row>
    <row r="9" spans="2:14" ht="14.7" thickBot="1" x14ac:dyDescent="0.6">
      <c r="B9" s="30" t="s">
        <v>6</v>
      </c>
      <c r="C9" s="63">
        <v>0.04</v>
      </c>
      <c r="D9" s="31"/>
      <c r="E9" s="30" t="s">
        <v>11</v>
      </c>
      <c r="F9" s="32" t="str">
        <f>IF(C4="RHS","1.35%","0%")</f>
        <v>0%</v>
      </c>
      <c r="I9" s="27" t="s">
        <v>40</v>
      </c>
      <c r="J9" s="33">
        <v>204</v>
      </c>
      <c r="M9" s="17" t="s">
        <v>70</v>
      </c>
      <c r="N9" s="18">
        <f>J22</f>
        <v>532</v>
      </c>
    </row>
    <row r="10" spans="2:14" x14ac:dyDescent="0.55000000000000004">
      <c r="I10" s="27" t="s">
        <v>41</v>
      </c>
      <c r="J10" s="33">
        <v>254</v>
      </c>
      <c r="M10" s="17" t="s">
        <v>71</v>
      </c>
      <c r="N10" s="18">
        <f>J23</f>
        <v>500</v>
      </c>
    </row>
    <row r="11" spans="2:14" x14ac:dyDescent="0.55000000000000004">
      <c r="B11" s="1" t="s">
        <v>5</v>
      </c>
      <c r="C11" s="49">
        <f>(1-(1*F6*C7)-(1*F7*C7)-(1*F8*C7)-(1*F9*C7))/(((PMT((F5+C5)/12,C6,-1*(C7),0)+(1*C9/12))/C8)*12)</f>
        <v>3.8605163669542728</v>
      </c>
      <c r="D11" s="49"/>
      <c r="E11" s="46"/>
      <c r="I11" s="27" t="s">
        <v>42</v>
      </c>
      <c r="J11" s="33">
        <v>883</v>
      </c>
      <c r="M11" s="17" t="s">
        <v>72</v>
      </c>
      <c r="N11" s="18">
        <f>J24</f>
        <v>63</v>
      </c>
    </row>
    <row r="12" spans="2:14" ht="14.7" thickBot="1" x14ac:dyDescent="0.6">
      <c r="E12" s="46"/>
      <c r="I12" s="27" t="s">
        <v>43</v>
      </c>
      <c r="J12" s="33">
        <v>568</v>
      </c>
      <c r="M12" s="17" t="s">
        <v>73</v>
      </c>
      <c r="N12" s="18">
        <f>J25</f>
        <v>124</v>
      </c>
    </row>
    <row r="13" spans="2:14" ht="18.3" x14ac:dyDescent="0.7">
      <c r="B13" s="35" t="s">
        <v>15</v>
      </c>
      <c r="C13" s="36"/>
      <c r="E13" s="47"/>
      <c r="I13" s="27" t="s">
        <v>44</v>
      </c>
      <c r="J13" s="33">
        <v>1036</v>
      </c>
      <c r="M13" s="17" t="s">
        <v>74</v>
      </c>
      <c r="N13" s="18">
        <f>J26</f>
        <v>38</v>
      </c>
    </row>
    <row r="14" spans="2:14" x14ac:dyDescent="0.55000000000000004">
      <c r="B14" s="37" t="s">
        <v>27</v>
      </c>
      <c r="C14" s="38">
        <v>126</v>
      </c>
      <c r="E14" s="46"/>
      <c r="F14" s="49"/>
      <c r="I14" s="27" t="s">
        <v>45</v>
      </c>
      <c r="J14" s="33">
        <v>693</v>
      </c>
      <c r="M14" s="17" t="s">
        <v>75</v>
      </c>
      <c r="N14" s="18">
        <f>SUM(J27:J29)</f>
        <v>103</v>
      </c>
    </row>
    <row r="15" spans="2:14" x14ac:dyDescent="0.55000000000000004">
      <c r="B15" s="37" t="s">
        <v>28</v>
      </c>
      <c r="C15" s="38">
        <v>328</v>
      </c>
      <c r="E15" s="48"/>
      <c r="F15" s="49"/>
      <c r="I15" s="27" t="s">
        <v>46</v>
      </c>
      <c r="J15" s="33">
        <v>766</v>
      </c>
      <c r="M15" s="19"/>
      <c r="N15" s="18">
        <f>J30</f>
        <v>11674</v>
      </c>
    </row>
    <row r="16" spans="2:14" x14ac:dyDescent="0.55000000000000004">
      <c r="B16" s="37" t="s">
        <v>29</v>
      </c>
      <c r="C16" s="38">
        <v>482</v>
      </c>
      <c r="E16" s="48"/>
      <c r="F16" s="49"/>
      <c r="I16" s="27" t="s">
        <v>47</v>
      </c>
      <c r="J16" s="33">
        <v>599</v>
      </c>
    </row>
    <row r="17" spans="2:10" x14ac:dyDescent="0.55000000000000004">
      <c r="B17" s="37" t="s">
        <v>30</v>
      </c>
      <c r="C17" s="38">
        <v>475</v>
      </c>
      <c r="E17" s="48"/>
      <c r="I17" s="27" t="s">
        <v>48</v>
      </c>
      <c r="J17" s="33">
        <v>1349</v>
      </c>
    </row>
    <row r="18" spans="2:10" x14ac:dyDescent="0.55000000000000004">
      <c r="B18" s="37" t="s">
        <v>31</v>
      </c>
      <c r="C18" s="38">
        <v>387</v>
      </c>
      <c r="E18" s="48"/>
      <c r="I18" s="27" t="s">
        <v>49</v>
      </c>
      <c r="J18" s="33">
        <v>697</v>
      </c>
    </row>
    <row r="19" spans="2:10" x14ac:dyDescent="0.55000000000000004">
      <c r="B19" s="37" t="s">
        <v>32</v>
      </c>
      <c r="C19" s="38">
        <v>866</v>
      </c>
      <c r="E19" s="48"/>
      <c r="I19" s="27" t="s">
        <v>50</v>
      </c>
      <c r="J19" s="33">
        <v>1010</v>
      </c>
    </row>
    <row r="20" spans="2:10" x14ac:dyDescent="0.55000000000000004">
      <c r="B20" s="37" t="s">
        <v>33</v>
      </c>
      <c r="C20" s="38">
        <v>794</v>
      </c>
      <c r="E20" s="48"/>
      <c r="F20" s="48"/>
      <c r="I20" s="27" t="s">
        <v>51</v>
      </c>
      <c r="J20" s="33">
        <v>477</v>
      </c>
    </row>
    <row r="21" spans="2:10" x14ac:dyDescent="0.55000000000000004">
      <c r="B21" s="37" t="s">
        <v>34</v>
      </c>
      <c r="C21" s="38">
        <v>763</v>
      </c>
      <c r="E21" s="48"/>
      <c r="I21" s="27" t="s">
        <v>52</v>
      </c>
      <c r="J21" s="33">
        <v>517</v>
      </c>
    </row>
    <row r="22" spans="2:10" x14ac:dyDescent="0.55000000000000004">
      <c r="B22" s="37" t="s">
        <v>35</v>
      </c>
      <c r="C22" s="38">
        <v>401</v>
      </c>
      <c r="I22" s="27" t="s">
        <v>56</v>
      </c>
      <c r="J22" s="33">
        <v>532</v>
      </c>
    </row>
    <row r="23" spans="2:10" x14ac:dyDescent="0.55000000000000004">
      <c r="B23" s="37" t="s">
        <v>36</v>
      </c>
      <c r="C23" s="38">
        <v>127</v>
      </c>
      <c r="E23" s="48"/>
      <c r="I23" s="27" t="s">
        <v>53</v>
      </c>
      <c r="J23" s="33">
        <v>500</v>
      </c>
    </row>
    <row r="24" spans="2:10" x14ac:dyDescent="0.55000000000000004">
      <c r="B24" s="37" t="s">
        <v>37</v>
      </c>
      <c r="C24" s="38">
        <v>36</v>
      </c>
      <c r="I24" s="27" t="s">
        <v>54</v>
      </c>
      <c r="J24" s="33">
        <v>63</v>
      </c>
    </row>
    <row r="25" spans="2:10" ht="14.7" thickBot="1" x14ac:dyDescent="0.6">
      <c r="B25" s="39" t="s">
        <v>26</v>
      </c>
      <c r="C25" s="40">
        <f>SUM(C14:C24)</f>
        <v>4785</v>
      </c>
      <c r="I25" s="27" t="s">
        <v>55</v>
      </c>
      <c r="J25" s="33">
        <v>124</v>
      </c>
    </row>
    <row r="26" spans="2:10" x14ac:dyDescent="0.55000000000000004">
      <c r="B26" s="41"/>
      <c r="C26" s="42"/>
      <c r="I26" s="27" t="s">
        <v>57</v>
      </c>
      <c r="J26" s="33">
        <v>38</v>
      </c>
    </row>
    <row r="27" spans="2:10" ht="14.7" thickBot="1" x14ac:dyDescent="0.6">
      <c r="B27" s="41"/>
      <c r="C27" s="42"/>
      <c r="I27" s="27" t="s">
        <v>58</v>
      </c>
      <c r="J27" s="33">
        <v>3</v>
      </c>
    </row>
    <row r="28" spans="2:10" x14ac:dyDescent="0.55000000000000004">
      <c r="B28" s="43" t="s">
        <v>61</v>
      </c>
      <c r="C28" s="21"/>
      <c r="I28" s="27" t="s">
        <v>59</v>
      </c>
      <c r="J28" s="33">
        <v>11</v>
      </c>
    </row>
    <row r="29" spans="2:10" x14ac:dyDescent="0.55000000000000004">
      <c r="B29" s="37" t="s">
        <v>21</v>
      </c>
      <c r="C29" s="44">
        <v>25100</v>
      </c>
      <c r="I29" s="27" t="s">
        <v>60</v>
      </c>
      <c r="J29" s="33">
        <v>89</v>
      </c>
    </row>
    <row r="30" spans="2:10" ht="14.7" thickBot="1" x14ac:dyDescent="0.6">
      <c r="B30" s="37" t="s">
        <v>22</v>
      </c>
      <c r="C30" s="44">
        <v>28250</v>
      </c>
      <c r="I30" s="30" t="s">
        <v>26</v>
      </c>
      <c r="J30" s="34">
        <f>SUM(J4:J29)</f>
        <v>11674</v>
      </c>
    </row>
    <row r="31" spans="2:10" x14ac:dyDescent="0.55000000000000004">
      <c r="B31" s="37" t="s">
        <v>23</v>
      </c>
      <c r="C31" s="44">
        <v>45200</v>
      </c>
    </row>
    <row r="32" spans="2:10" ht="14.7" thickBot="1" x14ac:dyDescent="0.6">
      <c r="B32" s="39" t="s">
        <v>24</v>
      </c>
      <c r="C32" s="45">
        <v>61755</v>
      </c>
    </row>
    <row r="35" spans="5:9" x14ac:dyDescent="0.55000000000000004">
      <c r="E35" s="12"/>
      <c r="F35" s="12"/>
      <c r="G35" s="12"/>
      <c r="H35" s="12"/>
      <c r="I35" s="12"/>
    </row>
    <row r="36" spans="5:9" x14ac:dyDescent="0.55000000000000004">
      <c r="E36" s="12"/>
      <c r="F36" s="12"/>
      <c r="G36" s="12"/>
      <c r="H36" s="12"/>
      <c r="I36" s="12"/>
    </row>
    <row r="37" spans="5:9" x14ac:dyDescent="0.55000000000000004">
      <c r="E37" s="12"/>
      <c r="F37" s="12"/>
      <c r="G37" s="13"/>
      <c r="H37" s="14"/>
      <c r="I37" s="14"/>
    </row>
    <row r="38" spans="5:9" x14ac:dyDescent="0.55000000000000004">
      <c r="E38" s="12"/>
      <c r="F38" s="12"/>
      <c r="G38" s="13"/>
      <c r="H38" s="14"/>
      <c r="I38" s="14"/>
    </row>
    <row r="39" spans="5:9" x14ac:dyDescent="0.55000000000000004">
      <c r="E39" s="12"/>
      <c r="F39" s="12"/>
      <c r="G39" s="13"/>
      <c r="H39" s="14"/>
      <c r="I39" s="14"/>
    </row>
    <row r="40" spans="5:9" x14ac:dyDescent="0.55000000000000004">
      <c r="E40" s="12"/>
      <c r="F40" s="12"/>
      <c r="G40" s="13"/>
      <c r="H40" s="14"/>
      <c r="I40" s="14"/>
    </row>
    <row r="41" spans="5:9" x14ac:dyDescent="0.55000000000000004">
      <c r="E41" s="12"/>
      <c r="F41" s="12"/>
      <c r="G41" s="12"/>
      <c r="H41" s="12"/>
      <c r="I41" s="12"/>
    </row>
    <row r="42" spans="5:9" x14ac:dyDescent="0.55000000000000004">
      <c r="E42" s="12"/>
      <c r="F42" s="12"/>
      <c r="G42" s="12"/>
      <c r="H42" s="12"/>
      <c r="I42" s="12"/>
    </row>
    <row r="43" spans="5:9" x14ac:dyDescent="0.55000000000000004">
      <c r="E43" s="12"/>
      <c r="F43" s="12"/>
      <c r="G43" s="12"/>
      <c r="H43" s="12"/>
      <c r="I43" s="1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D51F-68E6-4454-9D0A-6035E43B998F}">
  <dimension ref="B2:V33"/>
  <sheetViews>
    <sheetView zoomScale="80" zoomScaleNormal="80" workbookViewId="0">
      <selection activeCell="H21" sqref="H21"/>
    </sheetView>
  </sheetViews>
  <sheetFormatPr defaultRowHeight="14.4" x14ac:dyDescent="0.55000000000000004"/>
  <cols>
    <col min="2" max="2" width="18.26171875" bestFit="1" customWidth="1"/>
    <col min="3" max="3" width="19" bestFit="1" customWidth="1"/>
    <col min="4" max="4" width="15.83984375" bestFit="1" customWidth="1"/>
    <col min="9" max="9" width="13.83984375" bestFit="1" customWidth="1"/>
    <col min="15" max="15" width="18.68359375" bestFit="1" customWidth="1"/>
    <col min="16" max="16" width="15.47265625" bestFit="1" customWidth="1"/>
    <col min="17" max="17" width="10.62890625" bestFit="1" customWidth="1"/>
  </cols>
  <sheetData>
    <row r="2" spans="2:17" ht="14.7" thickBot="1" x14ac:dyDescent="0.6"/>
    <row r="3" spans="2:17" x14ac:dyDescent="0.55000000000000004">
      <c r="B3" s="37" t="s">
        <v>27</v>
      </c>
      <c r="C3" s="38">
        <f>assumptions!C14</f>
        <v>126</v>
      </c>
      <c r="D3">
        <v>0</v>
      </c>
      <c r="E3">
        <v>4999</v>
      </c>
      <c r="F3" s="11">
        <f>E3-D3</f>
        <v>4999</v>
      </c>
      <c r="I3" s="17" t="s">
        <v>65</v>
      </c>
      <c r="J3" s="18">
        <f>assumptions!N4</f>
        <v>4206</v>
      </c>
      <c r="K3">
        <v>0</v>
      </c>
      <c r="L3">
        <v>69999</v>
      </c>
      <c r="M3">
        <f>L3-K3</f>
        <v>69999</v>
      </c>
      <c r="O3" s="43" t="s">
        <v>61</v>
      </c>
      <c r="P3" s="50" t="s">
        <v>64</v>
      </c>
      <c r="Q3" s="21" t="s">
        <v>63</v>
      </c>
    </row>
    <row r="4" spans="2:17" x14ac:dyDescent="0.55000000000000004">
      <c r="B4" s="37" t="s">
        <v>28</v>
      </c>
      <c r="C4" s="38">
        <f>assumptions!C15</f>
        <v>328</v>
      </c>
      <c r="D4">
        <v>5000</v>
      </c>
      <c r="E4">
        <v>9999</v>
      </c>
      <c r="F4" s="11">
        <f t="shared" ref="F4:F12" si="0">E4-D4</f>
        <v>4999</v>
      </c>
      <c r="I4" s="17" t="s">
        <v>66</v>
      </c>
      <c r="J4" s="18">
        <f>assumptions!N5</f>
        <v>2058</v>
      </c>
      <c r="K4">
        <v>70000</v>
      </c>
      <c r="L4">
        <v>99999</v>
      </c>
      <c r="M4">
        <f t="shared" ref="M4:M12" si="1">L4-K4</f>
        <v>29999</v>
      </c>
      <c r="O4" s="37" t="s">
        <v>21</v>
      </c>
      <c r="P4" s="51">
        <f>assumptions!C29</f>
        <v>25100</v>
      </c>
      <c r="Q4" s="44">
        <f>P4*assumptions!C11</f>
        <v>96898.960810552249</v>
      </c>
    </row>
    <row r="5" spans="2:17" x14ac:dyDescent="0.55000000000000004">
      <c r="B5" s="37" t="s">
        <v>29</v>
      </c>
      <c r="C5" s="38">
        <f>assumptions!C16</f>
        <v>482</v>
      </c>
      <c r="D5">
        <v>10000</v>
      </c>
      <c r="E5">
        <v>14999</v>
      </c>
      <c r="F5" s="11">
        <f t="shared" si="0"/>
        <v>4999</v>
      </c>
      <c r="I5" s="17" t="s">
        <v>67</v>
      </c>
      <c r="J5" s="18">
        <f>assumptions!N6</f>
        <v>2046</v>
      </c>
      <c r="K5">
        <v>100000</v>
      </c>
      <c r="L5">
        <v>149999</v>
      </c>
      <c r="M5">
        <f t="shared" si="1"/>
        <v>49999</v>
      </c>
      <c r="O5" s="37" t="s">
        <v>22</v>
      </c>
      <c r="P5" s="51">
        <f>assumptions!C30</f>
        <v>28250</v>
      </c>
      <c r="Q5" s="44">
        <f>P5*assumptions!C11</f>
        <v>109059.5873664582</v>
      </c>
    </row>
    <row r="6" spans="2:17" x14ac:dyDescent="0.55000000000000004">
      <c r="B6" s="37" t="s">
        <v>30</v>
      </c>
      <c r="C6" s="38">
        <f>assumptions!C17</f>
        <v>475</v>
      </c>
      <c r="D6">
        <v>15000</v>
      </c>
      <c r="E6">
        <v>19999</v>
      </c>
      <c r="F6" s="11">
        <f t="shared" si="0"/>
        <v>4999</v>
      </c>
      <c r="I6" s="17" t="s">
        <v>68</v>
      </c>
      <c r="J6" s="18">
        <f>assumptions!N7</f>
        <v>1487</v>
      </c>
      <c r="K6">
        <v>150000</v>
      </c>
      <c r="L6">
        <v>199999</v>
      </c>
      <c r="M6">
        <f t="shared" si="1"/>
        <v>49999</v>
      </c>
      <c r="O6" s="37" t="s">
        <v>23</v>
      </c>
      <c r="P6" s="51">
        <f>assumptions!C31</f>
        <v>45200</v>
      </c>
      <c r="Q6" s="44">
        <f>P6*assumptions!C11</f>
        <v>174495.33978633312</v>
      </c>
    </row>
    <row r="7" spans="2:17" ht="14.7" thickBot="1" x14ac:dyDescent="0.6">
      <c r="B7" s="37" t="s">
        <v>31</v>
      </c>
      <c r="C7" s="38">
        <f>assumptions!C18</f>
        <v>387</v>
      </c>
      <c r="D7">
        <v>20000</v>
      </c>
      <c r="E7">
        <v>24999</v>
      </c>
      <c r="F7" s="11">
        <f t="shared" si="0"/>
        <v>4999</v>
      </c>
      <c r="I7" s="17" t="s">
        <v>69</v>
      </c>
      <c r="J7" s="18">
        <f>assumptions!N8</f>
        <v>517</v>
      </c>
      <c r="K7">
        <v>200000</v>
      </c>
      <c r="L7">
        <v>249999</v>
      </c>
      <c r="M7">
        <f t="shared" si="1"/>
        <v>49999</v>
      </c>
      <c r="O7" s="39" t="s">
        <v>24</v>
      </c>
      <c r="P7" s="51">
        <f>assumptions!C32</f>
        <v>61755</v>
      </c>
      <c r="Q7" s="45">
        <f>P7*assumptions!C11</f>
        <v>238406.18824126112</v>
      </c>
    </row>
    <row r="8" spans="2:17" x14ac:dyDescent="0.55000000000000004">
      <c r="B8" s="37" t="s">
        <v>32</v>
      </c>
      <c r="C8" s="38">
        <f>assumptions!C19</f>
        <v>866</v>
      </c>
      <c r="D8">
        <v>25000</v>
      </c>
      <c r="E8">
        <v>34999</v>
      </c>
      <c r="F8" s="11">
        <f t="shared" si="0"/>
        <v>9999</v>
      </c>
      <c r="I8" s="17" t="s">
        <v>70</v>
      </c>
      <c r="J8" s="18">
        <f>assumptions!N9</f>
        <v>532</v>
      </c>
      <c r="K8">
        <v>250000</v>
      </c>
      <c r="L8">
        <v>299999</v>
      </c>
      <c r="M8">
        <f t="shared" si="1"/>
        <v>49999</v>
      </c>
    </row>
    <row r="9" spans="2:17" x14ac:dyDescent="0.55000000000000004">
      <c r="B9" s="37" t="s">
        <v>33</v>
      </c>
      <c r="C9" s="38">
        <f>assumptions!C20</f>
        <v>794</v>
      </c>
      <c r="D9">
        <v>35000</v>
      </c>
      <c r="E9">
        <v>49999</v>
      </c>
      <c r="F9" s="11">
        <f t="shared" si="0"/>
        <v>14999</v>
      </c>
      <c r="I9" s="17" t="s">
        <v>71</v>
      </c>
      <c r="J9" s="18">
        <f>assumptions!N10</f>
        <v>500</v>
      </c>
      <c r="K9">
        <v>300000</v>
      </c>
      <c r="L9">
        <v>399999</v>
      </c>
      <c r="M9">
        <f t="shared" si="1"/>
        <v>99999</v>
      </c>
    </row>
    <row r="10" spans="2:17" x14ac:dyDescent="0.55000000000000004">
      <c r="B10" s="37" t="s">
        <v>34</v>
      </c>
      <c r="C10" s="38">
        <f>assumptions!C21</f>
        <v>763</v>
      </c>
      <c r="D10">
        <v>50000</v>
      </c>
      <c r="E10">
        <v>74999</v>
      </c>
      <c r="F10" s="11">
        <f t="shared" si="0"/>
        <v>24999</v>
      </c>
      <c r="I10" s="17" t="s">
        <v>72</v>
      </c>
      <c r="J10" s="18">
        <f>assumptions!N11</f>
        <v>63</v>
      </c>
      <c r="K10">
        <v>400000</v>
      </c>
      <c r="L10">
        <v>499999</v>
      </c>
      <c r="M10">
        <f t="shared" si="1"/>
        <v>99999</v>
      </c>
    </row>
    <row r="11" spans="2:17" x14ac:dyDescent="0.55000000000000004">
      <c r="B11" s="37" t="s">
        <v>35</v>
      </c>
      <c r="C11" s="38">
        <f>assumptions!C22</f>
        <v>401</v>
      </c>
      <c r="D11">
        <v>75000</v>
      </c>
      <c r="E11">
        <v>99999</v>
      </c>
      <c r="F11" s="11">
        <f t="shared" si="0"/>
        <v>24999</v>
      </c>
      <c r="I11" s="17" t="s">
        <v>73</v>
      </c>
      <c r="J11" s="18">
        <f>assumptions!N12</f>
        <v>124</v>
      </c>
      <c r="K11">
        <v>500000</v>
      </c>
      <c r="L11">
        <v>749999</v>
      </c>
      <c r="M11">
        <f t="shared" si="1"/>
        <v>249999</v>
      </c>
    </row>
    <row r="12" spans="2:17" x14ac:dyDescent="0.55000000000000004">
      <c r="B12" s="37" t="s">
        <v>36</v>
      </c>
      <c r="C12" s="38">
        <f>assumptions!C23</f>
        <v>127</v>
      </c>
      <c r="D12">
        <v>100000</v>
      </c>
      <c r="E12">
        <v>149999</v>
      </c>
      <c r="F12" s="11">
        <f t="shared" si="0"/>
        <v>49999</v>
      </c>
      <c r="I12" s="17" t="s">
        <v>74</v>
      </c>
      <c r="J12" s="18">
        <f>assumptions!N13</f>
        <v>38</v>
      </c>
      <c r="K12">
        <v>750000</v>
      </c>
      <c r="L12">
        <v>999999</v>
      </c>
      <c r="M12">
        <f t="shared" si="1"/>
        <v>249999</v>
      </c>
    </row>
    <row r="13" spans="2:17" x14ac:dyDescent="0.55000000000000004">
      <c r="B13" s="37" t="s">
        <v>37</v>
      </c>
      <c r="C13" s="38">
        <f>assumptions!C24</f>
        <v>36</v>
      </c>
      <c r="D13">
        <v>150000</v>
      </c>
      <c r="I13" s="17" t="s">
        <v>75</v>
      </c>
      <c r="J13" s="18">
        <f>assumptions!N14</f>
        <v>103</v>
      </c>
      <c r="K13">
        <v>1000000</v>
      </c>
    </row>
    <row r="14" spans="2:17" ht="14.7" thickBot="1" x14ac:dyDescent="0.6">
      <c r="B14" s="39" t="s">
        <v>26</v>
      </c>
      <c r="C14" s="40">
        <f>SUM(C3:C13)</f>
        <v>4785</v>
      </c>
      <c r="I14" s="19"/>
      <c r="J14" s="18">
        <f>assumptions!N15</f>
        <v>11674</v>
      </c>
    </row>
    <row r="17" spans="3:22" x14ac:dyDescent="0.55000000000000004">
      <c r="Q17" s="15"/>
      <c r="R17" s="56"/>
      <c r="S17" s="56"/>
      <c r="U17" s="52"/>
      <c r="V17" s="16"/>
    </row>
    <row r="19" spans="3:22" x14ac:dyDescent="0.55000000000000004">
      <c r="C19" s="2" t="s">
        <v>16</v>
      </c>
      <c r="D19" s="2" t="s">
        <v>17</v>
      </c>
      <c r="E19" s="2" t="s">
        <v>76</v>
      </c>
      <c r="F19" s="2" t="s">
        <v>19</v>
      </c>
      <c r="G19" s="2" t="s">
        <v>20</v>
      </c>
      <c r="L19" s="15"/>
      <c r="M19" s="53"/>
      <c r="N19" s="53"/>
      <c r="O19" s="52"/>
    </row>
    <row r="20" spans="3:22" x14ac:dyDescent="0.55000000000000004">
      <c r="C20" s="2" t="s">
        <v>21</v>
      </c>
      <c r="D20" s="59" t="str">
        <f>CONCATENATE("$0"," - ",assumptions!C29)</f>
        <v>$0 - 25100</v>
      </c>
      <c r="E20" s="3">
        <f>IF(P4&lt;E3,(((100%-(E3-P4)/F3))*C3)/C14,IF(P4&lt;E4,(C3+((100%-(E4-P4)/F4))*C4)/C14,IF(P4&lt;E5,(C3+C4+((100%-(E5-P4)/F5))*C5)/C14,IF(P4&lt;E6,(C3+C4+C5+((100%-(E6-P4)/F6))*C6)/C14,IF(P4&lt;E7,(C3+C4+C5+C6+((100%-(E7-P4)/F7))*C7)/C14,IF(P4&lt;E8,(C3+C4+C5+C6+C7+((100%-(E8-P4)/F8))*C8)/C14,IF(P4&lt;E9,(C3+C4+C5+C6+C7+C8+((100%-(E9-P4)/F9))*C9)/C14,IF(P4&lt;E10,(C3+C4+C5+C6+C7+C8+C9+((100%-(E10-P4)/F10))*C10)/C14,IF(P4&lt;E11,(C3+C4+C5+C6+C7+C8+C9+C10+((100%-(E11-P4)/F11))*C11)/C14,IF(P4&lt;E12,(C3+C4+C5+C6+C7+C8+C9+C10+C11+((100%-(E12-P4)/F12))*C12)/C14,IF(P4&lt;E13,(C3+C4+C5+C6+C7+C8+C9+C10+C11+C12+C13))))))))))))</f>
        <v>0.37756757911945843</v>
      </c>
      <c r="F20" s="4">
        <f>IF(Q4&lt;L3,(((100%-(L3-Q4)/M3))*J3)/J14,IF(Q4&lt;L4,(J3+((100%-(L4-Q4)/M4))*J4)/J14,IF(Q4&lt;L5,(J3+J4+((100%-(L5-Q4)/M5))*J5)/J14,IF(Q4&lt;L6,(J3+J4+J5+((100%-(L6-Q4)/M6))*J6)/J14,IF(Q4&lt;L7,(J3+J4+J5+J6+((100%-(L7-Q4)/M7))*J7)/J14,IF(Q4&lt;L8,(J3+J4+J5+J6+J7+((100%-(L8-Q4)/M8))*J8)/J14,IF(Q4&lt;L9,(J3+J4+J5+J6+J7+J8+((100%-(L9-Q4)/M9))*J9)/J14,IF(Q4&lt;L10,(J3+J4+J5+J6+J7+J8+J9+((100%-(L10-Q4)/M10))*J10)/J14,IF(Q4&lt;L11,(J3+J4+J5+J6+J7+J8+J9+J10+((100%-(L11-Q4)/M11))*J11)/J14,IF(Q4&lt;L12,(J3+J4+J5+J6+J7+J8+J9+J10+J11+((100%-(L12-Q4)/M12))*J12)/J14,IF(Q4&lt;L13,(J3+J4+J5+J6+J7+J8+J9+J10+J11+J12+J13))))))))))))</f>
        <v>0.51835962160453186</v>
      </c>
      <c r="G20" s="4">
        <f>F20-E20</f>
        <v>0.14079204248507343</v>
      </c>
      <c r="I20" s="55"/>
      <c r="J20" s="54"/>
      <c r="K20" s="15"/>
      <c r="L20" s="57"/>
      <c r="M20" s="53"/>
      <c r="N20" s="58"/>
      <c r="O20" s="54"/>
      <c r="P20" s="54"/>
      <c r="Q20" s="15"/>
      <c r="R20" s="53"/>
      <c r="S20" s="53"/>
      <c r="T20" s="52"/>
    </row>
    <row r="21" spans="3:22" x14ac:dyDescent="0.55000000000000004">
      <c r="C21" s="2" t="s">
        <v>22</v>
      </c>
      <c r="D21" s="59" t="str">
        <f>CONCATENATE(assumptions!C29," - ",assumptions!C30)</f>
        <v>25100 - 28250</v>
      </c>
      <c r="E21" s="3">
        <f>IF(P4&gt;74999,C29,IF(P4&lt;E3,C27,C28))</f>
        <v>5.7015105899304662E-2</v>
      </c>
      <c r="F21" s="4">
        <f>IF(Q4&gt;L10,C33,IF(Q4&lt;L3,C31,C32))</f>
        <v>4.9973916989785504E-2</v>
      </c>
      <c r="G21" s="4">
        <f t="shared" ref="G21:G23" si="2">F21-E21</f>
        <v>-7.0411889095191582E-3</v>
      </c>
      <c r="K21" s="15"/>
      <c r="L21" s="57"/>
      <c r="M21" s="53"/>
      <c r="N21" s="58"/>
      <c r="O21" s="16"/>
      <c r="Q21" s="15"/>
      <c r="R21" s="56"/>
      <c r="S21" s="53"/>
      <c r="T21" s="52"/>
      <c r="U21" s="16"/>
    </row>
    <row r="22" spans="3:22" x14ac:dyDescent="0.55000000000000004">
      <c r="C22" s="2" t="s">
        <v>23</v>
      </c>
      <c r="D22" s="59" t="str">
        <f>CONCATENATE(assumptions!C30," - ",assumptions!C31)</f>
        <v>28250 - 45200</v>
      </c>
      <c r="E22" s="3">
        <f>IF(P5&gt;74999,D29,IF(P5&lt;E3,D27,D28))</f>
        <v>0.23500059545489854</v>
      </c>
      <c r="F22" s="4">
        <f>IF(Q5&gt;L10,D33,IF(Q5&lt;L3,D31,D32))</f>
        <v>0.20590887834632465</v>
      </c>
      <c r="G22" s="4">
        <f t="shared" si="2"/>
        <v>-2.9091717108573889E-2</v>
      </c>
      <c r="P22" s="15"/>
      <c r="Q22" s="56"/>
      <c r="R22" s="56"/>
      <c r="T22" s="53"/>
    </row>
    <row r="23" spans="3:22" x14ac:dyDescent="0.55000000000000004">
      <c r="C23" s="2" t="s">
        <v>62</v>
      </c>
      <c r="D23" s="59" t="str">
        <f>CONCATENATE(assumptions!C31," - ",assumptions!C32)</f>
        <v>45200 - 61755</v>
      </c>
      <c r="E23" s="3">
        <f>IF(P5&gt;74999,E29,IF(P5&lt;E3,E27,E28))</f>
        <v>0.12807125475685935</v>
      </c>
      <c r="F23" s="4">
        <f>IF(Q5&gt;L10,E33,IF(Q5&lt;L3,E31,E32))</f>
        <v>9.899108734008609E-2</v>
      </c>
      <c r="G23" s="4">
        <f t="shared" si="2"/>
        <v>-2.9080167416773259E-2</v>
      </c>
      <c r="P23" s="15"/>
      <c r="Q23" s="56"/>
      <c r="R23" s="56"/>
      <c r="T23" s="53"/>
    </row>
    <row r="27" spans="3:22" x14ac:dyDescent="0.55000000000000004">
      <c r="C27" t="b">
        <f>IF(AND(P4&lt;E3,P5&gt;E3,P5&lt;E4),(C3*((E3-P4)/F3)+C4*(100%-((E4-P5)/F4)))/C14,IF(AND(P4&lt;E3,P5&lt;E3),((C3*(100%-((E3-P5)/F3)))-C3*(100%-((E3-P4)/F3)))/C14,IF(AND(P4&lt;E3,P5&gt;E4,P5&lt;E5),(C3*((E3-P4)/F3)+C4+C5*(100%-((E5-P5)/F5)))/C14,IF(AND(P4&lt;E3,P5&gt;E5,P5&lt;E6),(C3*((E3-P4)/F3)+C4+C5+C6*(100%-((E6-P5)/F6)))/C14,IF(AND(P4&lt;E3,P5&gt;E6,P5&lt;E7),(C3*((E3-P4)/F3)+C4+C5+C6+C7*(100%-((E7-P5)/F7)))/C14,IF(AND(P4&lt;E3,P5&gt;E7,P5&lt;E8),(C3*((E3-P4)/F3)+C4+C5+C6+C7+C8*(100%-((E8-P5)/F8)))/C14,IF(AND(P4&lt;E3,P5&gt;E8,P5&lt;E9),(C3*((E3-P4)/F3)+C4+C5+C6+C7+C8+C9*(100%-((E9-P5)/F9)))/C14,IF(AND(P4&lt;E3,P5&gt;E9,P5&lt;E10),(C3*((E3-P4)/F3)+C4+C5+C6+C7+C8+C9+C10*(100%-((E10-P5)/F10)))/C14,IF(AND(P4&lt;E3,P5&gt;E10,P5&lt;E11),(C3*((E3-P4)/F3)+C4+C5+C6+C7+C8+C9+C10+C11*(100%-((E11-P5)/F11)))/C14,IF(AND(P4&lt;E3,P5&gt;E11,P5&lt;E12),(C3*((E3-P4)/F3)+C4+C5+C6+C7+C8+C9+C10+C11+C12*(100%-((E12-P5)/F12)))/C14,IF(AND(P4&lt;E3,P5&gt;E12),((C3*((E3-P4)/F3)+C4+C5+C6+C7+C8+C9+C10+C11+C12+C13)/C14))))))))))))</f>
        <v>0</v>
      </c>
      <c r="D27" t="b">
        <f>IF(AND(P5&lt;E3,P6&gt;E3,P6&lt;E4),(C3*((E3-P5)/F3)+C4*(100%-((E4-P6)/F4)))/C14,IF(AND(P5&lt;E3,P6&lt;E3),((C3*(100%-((E3-P6)/F3)))-C3*(100%-((E3-P5)/F3)))/C14,IF(AND(P5&lt;E3,P6&gt;E4,P6&lt;E5),(C3*((E3-P5)/F3)+C4+C5*(100%-((E5-P6)/F5)))/C14,IF(AND(P5&lt;E3,P6&gt;E5,P6&lt;E6),(C3*((E3-P5)/F3)+C4+C5+C6*(100%-((E6-P6)/F6)))/C14,IF(AND(P5&lt;E3,P6&gt;E6,P6&lt;E7),(C3*((E3-P5)/F3)+C4+C5+C6+C7*(100%-((E7-P6)/F7)))/C14,IF(AND(P5&lt;E3,P6&gt;E7,P6&lt;E8),(C3*((E3-P5)/F3)+C4+C5+C6+C7+C8*(100%-((E8-P6)/F8)))/C14,IF(AND(P5&lt;E3,P6&gt;E8,P6&lt;E9),(C3*((E3-P5)/F3)+C4+C5+C6+C7+C8+C9*(100%-((E9-P6)/F9)))/C14,IF(AND(P5&lt;E3,P6&gt;E9,P6&lt;E10),(C3*((E3-P5)/F3)+C4+C5+C6+C7+C8+C9+C10*(100%-((E10-P6)/F10)))/C14,IF(AND(P5&lt;E3,P6&gt;E10,P6&lt;E11),(C3*((E3-P5)/F3)+C4+C5+C6+C7+C8+C9+C10+C11*(100%-((E11-P6)/F11)))/C14,IF(AND(P5&lt;E3,P6&gt;E11,P6&lt;E12),(C3*((E3-P5)/F3)+C4+C5+C6+C7+C8+C9+C10+C11+C12*(100%-((E12-P6)/F12)))/C14,IF(AND(P5&lt;E3,P6&gt;E12),((C3*((E3-P5)/F3)+C4+C5+C6+C7+C8+C9+C10+C11+C12+C13)/C14))))))))))))</f>
        <v>0</v>
      </c>
      <c r="E27" t="b">
        <f>IF(AND(P6&lt;E3,P7&gt;E3,P7&lt;E4),(C3*((E3-P6)/F3)+C4*(100%-((E4-P7)/F4)))/C14,IF(AND(P6&lt;E3,P7&lt;E3),((C3*(100%-((E3-P7)/F3)))-C3*(100%-((E3-P6)/F3)))/C14,IF(AND(P6&lt;E3,P7&gt;E4,P7&lt;E5),(C3*((E3-P6)/F3)+C4+C5*(100%-((E5-P7)/F5)))/C14,IF(AND(P6&lt;E3,P7&gt;E5,P7&lt;E6),(C3*((E3-P6)/F3)+C4+C5+C6*(100%-((E6-P7)/F6)))/C14,IF(AND(P6&lt;E3,P7&gt;E6,P7&lt;E7),(C3*((E3-P6)/F3)+C4+C5+C6+C7*(100%-((E7-P7)/F7)))/C14,IF(AND(P6&lt;E3,P7&gt;E7,P7&lt;E8),(C3*((E3-P6)/F3)+C4+C5+C6+C7+C8*(100%-((E8-P7)/F8)))/C14,IF(AND(P6&lt;E3,P7&gt;E8,P7&lt;E9),(C3*((E3-P6)/F3)+C4+C5+C6+C7+C8+C9*(100%-((E9-P7)/F9)))/C14,IF(AND(P6&lt;E3,P7&gt;E9,P7&lt;E10),(C3*((E3-P6)/F3)+C4+C5+C6+C7+C8+C9+C10*(100%-((E10-P7)/F10)))/C14,IF(AND(P6&lt;E3,P7&gt;E10,P7&lt;E11),(C3*((E3-P6)/F3)+C4+C5+C6+C7+C8+C9+C10+C11*(100%-((E11-P7)/F11)))/C14,IF(AND(P6&lt;E3,P7&gt;E11,P7&lt;E12),(C3*((E3-P6)/F3)+C4+C5+C6+C7+C8+C9+C10+C11+C12*(100%-((E12-P7)/F12)))/C14,IF(AND(P6&lt;E3,P7&gt;E12),((C3*((E3-P6)/F3)+C4+C5+C6+C7+C8+C9+C10+C11+C12+C13)/C14))))))))))))</f>
        <v>0</v>
      </c>
    </row>
    <row r="28" spans="3:22" x14ac:dyDescent="0.55000000000000004">
      <c r="C28">
        <f>IF(AND(P4&gt;E3,P4&lt;E4,P5&gt;E3,P5&lt;E4),((C4*(100%-((E4-P5)/F4)))-(C4*(100%-((E4-P4)/F4))))/C14,IF(AND(P4&gt;E4,P4&lt;E5,P5&gt;E4,P5&lt;E5),((C5*(100%-((E5-P5)/F5)))-(C5*(100%-((E5-P4)/F5))))/C14,IF(AND(P4&gt;E5,P4&lt;E6,P5&gt;E5,P5&lt;E6),((C6*(100%-((E6-P5)/F6)))-(C6*(100%-((E6-P4)/F6))))/C14,IF(AND(P4&gt;E6,P4&lt;E7,P5&gt;E6,P5&lt;E7),((C7*(100%-((E7-P5)/F7)))-(C7*(100%-((E7-P4)/F7))))/C14,IF(AND(P4&gt;E7,P4&lt;E8,P5&gt;E7,P5&lt;E8),((C8*(100%-((E8-P5)/F8)))-(C8*(100%-((E8-P4)/F8))))/C14,IF(AND(P4&gt;E8,P4&lt;E9,P5&gt;E8,P5&lt;E9),((C9*(100%-((E9-P5)/F9)))-(C9*(100%-((E9-P4)/F9))))/C14,IF(AND(P4&gt;E9,P4&lt;E10,P5&gt;E9,P5&lt;E10),((C10*(100%-((E10-P5)/F10)))-(C10*(100%-((E10-P4)/F10))))/C14,IF(AND(P4&gt;E10,P4&lt;E11,P5&gt;E10,P5&lt;E11),((C11*(100%-((E11-P5)/F11)))-(C11*(100%-((E11-P4)/F11))))/C14,IF(AND(P4&gt;E11,P4&lt;E12,P5&gt;E11,P5&lt;E12),((C12*(100%-((E12-P5)/F12)))-(C12*(100%-((E12-P4)/F12))))/C14,IF(AND(P4&gt;E12,P5&gt;E12),C13/C14,IF(AND(P4&gt;E3,P4&lt;E4,P5&gt;E4,P5&lt;E5),C4*((E4-P4)/F4)/C14+C5*(100%-((E5-P5)/F5))/C14,IF(AND(P4&gt;E3,P4&lt;E4,P5&gt;E5,P5&lt;E6),(C4*((E4-P4)/F4)+C5+C6*(100%-((E6-P5)/F6)))/C14,IF(AND(P4&gt;E3,P4&lt;E4,P5&gt;E6,P5&lt;E7),(C4*((E4-P4)/F4)+C5+C6+C7*(100%-((E7-P5)/F7)))/C14,IF(AND(P4&gt;E3,P4&lt;E4,P5&gt;E7,P5&lt;E8),(C4*((E4-P4)/F4)+C5+C6+C7+C8*(100%-((E8-P5)/F8)))/C14,IF(AND(P4&gt;E3,P4&lt;E4,P5&gt;E8,P5&lt;E9),(C4*((E4-P4)/F4)+C5+C6+C7+C8+C9*(100%-((E9-P5)/F9)))/C14,IF(AND(P4&gt;E3,P4&lt;E4,P5&gt;E9,P5&lt;E10),(C4*((E4-P4)/F4)+C5+C6+C7+C8+C9+C10*(100%-((E10-P5)/F10)))/C14,IF(AND(P4&gt;E3,P4&lt;E4,P5&gt;E10,P5&lt;E11),(C4*((E4-P4)/F4)+C5+C6+C7+C8+C9+C10+C11*(100%-((E11-P5)/F11)))/C14,IF(AND(P4&gt;E3,P4&lt;E4,P5&gt;E11,P5&lt;E12),(C4*((E4-P4)/F4)+C5+C6+C7+C8+C9+C10+C11+C12*(100%-((E12-P5)/F12)))/C14,IF(AND(P4&gt;E3,P4&lt;E4,P5&gt;E12),(C4*((E4-P4)/F4)+C5+C6+C7+C8+C9+C10+C11+C12+C13)/C14,IF(AND(P4&gt;E4,P4&lt;E5,P5&gt;E5,P5&lt;E6),C5*((E5-P4)/F5)/C14+C6*(100%-((E6-P5)/F6))/C14,IF(AND(P4&gt;E4,P4&lt;E5,P5&gt;E6,P5&lt;E7),(C5*((E5-P4)/F5)+C6+C7*(100%-((E7-P5)/F7)))/C14,IF(AND(P4&gt;E4,P4&lt;E5,P5&gt;E7,P5&lt;E8),(C5*((E5-P4)/F5)+C6+C7+C8*(100%-((E8-P5)/F8)))/C14,IF(AND(P4&gt;E4,P4&lt;E5,P5&gt;E8,P5&lt;E9),(C5*((E5-P4)/F5)+C6+C7+C8+C9*(100%-((E9-P5)/F9)))/C14,IF(AND(P4&gt;E4,P4&lt;E5,P5&gt;E9,P5&lt;E10),(C5*((E5-P4)/F5)+C6+C7+C8+C9+C10*(100%-((E10-P5)/F10)))/C14,IF(AND(P4&gt;E4,P4&lt;E5,P5&gt;E10,P5&lt;E11),(C5*((E5-P4)/F5)+C6+C7+C8+C9+C10+C11*(100%-((E11-P5)/F11)))/C14,IF(AND(P4&gt;E4,P4&lt;E5,P5&gt;E11,P5&lt;E12),(C5*((E5-P4)/F5)+C6+C7+C8+C9+C10+C11+C12*(100%-((E12-P5))/F12))/C14,IF(AND(P4&gt;E4,P4&lt;E5,P5&gt;E12),(C5*((E5-P4)/F5)+C6+C7+C8+C9+C10+C11+C12+C13)/C14,IF(AND(P4&gt;E5,P4&lt;E6,P5&gt;E6,P5&lt;E7),C6*((E6-P4)/F6)/C14+C7*(100%-((E7-P5)/F7))/C14,IF(AND(P4&gt;E5,P4&lt;E6,P5&gt;E7,P5&lt;E8),(C6*((E6-P4)/F6)+C7+C8*(100%-((E8-P5)/F8)))/C14,IF(AND(P4&gt;E5,P4&lt;E6,P5&gt;E8,P5&lt;E9),(C6*((E6-P4)/F6)+C7+C8+C9*(100%-((E9-P5)/F9)))/C14,IF(AND(P4&gt;E5,P4&lt;E6,P5&gt;E9,P5&lt;E10),(C6*((E6-P4)/F6)+C7+C8+C9+C10*(100%-((E10-P5)/F10)))/C14,IF(AND(P4&gt;E5,P4&lt;E6,P5&gt;E10,P5&lt;E11),(C6*((E6-P4)/F6)+C7+C8+C9+C10+C11*(100%-((E11-P5)/F11)))/C14,IF(AND(P4&gt;E5,P4&lt;E6,P5&gt;E11,P5&lt;E12),(C6*((E6-P4)/F6)+C7+C8+C9+C10+C11+C12*(100%-((E12-P5)/F12)))/C14,IF(AND(P4&gt;E5,P4&lt;E6,P5&gt;E12),(C6*((E6-P4)/F6)+C7+C8+C9+C10+C11+C12+C13)/C14,IF(AND(P4&gt;E6,P4&lt;E7,P5&gt;E7,P5&lt;E8),C7*((E7-P4)/F7)/C14+C8*(100%-((E8-P5)/F8))/C14,IF(AND(P4&gt;E6,P4&lt;E7,P5&gt;E8,P5&lt;E9),(C7*((E7-P4)/F7)+C8+C9*(100%-((E9-P5)/F9)))/C14,IF(AND(P4&gt;E6,P4&lt;E7,P5&gt;E9,P5&lt;E10),(C7*((E7-P4)/F7)+C8+C9+C10*(100%-((E10-P5)/F10)))/C14,IF(AND(P4&gt;E6,P4&lt;E7,P5&gt;E10,P5&lt;E11),(C7*((E7-P4)/F7)+C8+C9+C10+C11*(100%-((E11-P5)/F11)))/C14,IF(AND(P4&gt;E6,P4&lt;E7,P5&gt;E11,P5&lt;E12),(C7*((E7-P4)/F7)+C8+C9+C10+C11+C12*(100%-((E12-P5)/F12)))/C14,IF(AND(P4&gt;E6,P4&lt;E7,P5&gt;E12),(C7*((E7-P4)/F7)+C8+C9+C10+C11+C12+C13)/C14,IF(AND(P4&gt;E7,P4&lt;E8,P5&gt;E8,P5&lt;E9),C8*((E8-P4)/F8)/C14+C9*(100%-((E9-P5)/F9))/C14,IF(AND(P4&gt;E7,P4&lt;E8,P5&gt;E9,P5&lt;E10),(C8*((E8-P4)/F8)+C9+C10*(100%-((E10-P5)/F10)))/C14,IF(AND(P4&gt;E7,P4&lt;E8,P5&gt;E10,P5&lt;E11),(C8*((E8-P4)/F8)+C9+C10+C11*(100%-((E11-P5)/F11)))/C14,IF(AND(P4&gt;E7,P4&lt;E8,P5&gt;E11,P5&lt;E12),(C8*((E8-P4)/F8)+C9+C10+C11+C12*(100%-((E12-P5)/F12)))/C14,IF(AND(P4&gt;E7,P4&lt;E8,P5&gt;E12),(C8*((E8-P4)/F8)+C9+C10+C11+C12+C13)/C14,IF(AND(P4&gt;E8,P4&lt;E9,P5&gt;E9,P5&lt;E10),C9*((E9-P4)/F9)/C14+C10*(100%-((E10-P5)/F10))/C14,IF(AND(P4&gt;E8,P4&lt;E9,P5&gt;E10,P5&lt;E11),(C9*((E9-P4)/F9)+C10+C11*(100%-((E11-P5)/F11)))/C14,IF(AND(P4&gt;E8,P4&lt;E9,P5&gt;E11,P5&lt;E12),(C9*((E9-P4)/F9)+C10+C11+C12*(100%-((E12-P5)/F12)))/C14,IF(AND(P4&gt;E8,P4&lt;E9,P5&gt;E12),(C9*((E9-P4)/F9)+C10+C11+C12+C13)/C14,IF(AND(P4&gt;E9,P4&lt;E10,P5&gt;E10,P5&lt;E11),C10*((E10-P4)/F10)/C14+C11*(100%-((E11-P5)/F11))/C14,IF(AND(P4&gt;E9,P4&lt;E10,P5&gt;E11,P5&lt;E12),(C10*((E10-P4)/F10)+C11+C12*(100%-((E12-P5)/F12)))/C14,IF(AND(P4&gt;E9,P4&lt;E10,P5&gt;E12),(C10*((E10-P4)/F10)+C11+C12+C13)))/C14))))))))))))))))))))))))))))))))))))))))))))))))))</f>
        <v>5.7015105899304662E-2</v>
      </c>
      <c r="D28">
        <f>IF(AND(P5&gt;E3,P5&lt;E4,P6&gt;E3,P6&lt;E4),((C4*(100%-((E4-P6)/F4)))-(C4*(100%-((E4-P5)/F4))))/C14,IF(AND(P5&gt;E4,P5&lt;E5,P6&gt;E4,P6&lt;E5),((C5*(100%-((E5-P6)/F5)))-(C5*(100%-((E5-P5)/F5))))/C14,IF(AND(P5&gt;E5,P5&lt;E6,P6&gt;E5,P6&lt;E6),((C6*(100%-((E6-P6)/F6)))-(C6*(100%-((E6-P5)/F6))))/C14,IF(AND(P5&gt;E6,P5&lt;E7,P6&gt;E6,P6&lt;E7),((C7*(100%-((E7-P6)/F7)))-(C7*(100%-((E7-P5)/F7))))/C14,IF(AND(P5&gt;E7,P5&lt;E8,P6&gt;E7,P6&lt;E8),((C8*(100%-((E8-P6)/F8)))-(C8*(100%-((E8-P5)/F8))))/C14,IF(AND(P5&gt;E8,P5&lt;E9,P6&gt;E8,P6&lt;E9),((C9*(100%-((E9-P6)/F9)))-(C9*(100%-((E9-P5)/F9))))/C14,IF(AND(P5&gt;E9,P5&lt;E10,P6&gt;E9,P6&lt;E10),((C10*(100%-((E10-P6)/F10)))-(C10*(100%-((E10-P5)/F10))))/C14,IF(AND(P5&gt;E10,P5&lt;E11,P6&gt;E10,P6&lt;E11),((C11*(100%-((E11-P6)/F11)))-(C11*(100%-((E11-P5)/F11))))/C14,IF(AND(P5&gt;E11,P5&lt;E12,P6&gt;E11,P6&lt;E12),((C12*(100%-((E12-P6)/F12)))-(C12*(100%-((E12-P5)/F12))))/C14,IF(AND(P5&gt;E12,P6&gt;E12),C13/C14,IF(AND(P5&gt;E3,P5&lt;E4,P6&gt;E4,P6&lt;E5),C4*((E4-P5)/F4)/C14+C5*(100%-((E5-P6)/F5))/C14,IF(AND(P5&gt;E3,P5&lt;E4,P6&gt;E5,P6&lt;E6),(C4*((E4-P5)/F4)+C5+C6*(100%-((E6-P6)/F6)))/C14,IF(AND(P5&gt;E3,P5&lt;E4,P6&gt;E6,P6&lt;E7),(C4*((E4-P5)/F4)+C5+C6+C7*(100%-((E7-P6)/F7)))/C14,IF(AND(P5&gt;E3,P5&lt;E4,P6&gt;E7,P6&lt;E8),(C4*((E4-P5)/F4)+C5+C6+C7+C8*(100%-((E8-P6)/F8)))/C14,IF(AND(P5&gt;E3,P5&lt;E4,P6&gt;E8,P6&lt;E9),(C4*((E4-P5)/F4)+C5+C6+C7+C8+C9*(100%-((E9-P6)/F9)))/C14,IF(AND(P5&gt;E3,P5&lt;E4,P6&gt;E9,P6&lt;E10),(C4*((E4-P5)/F4)+C5+C6+C7+C8+C9+C10*(100%-((E10-P6)/F10)))/C14,IF(AND(P5&gt;E3,P5&lt;E4,P6&gt;E10,P6&lt;E11),(C4*((E4-P5)/F4)+C5+C6+C7+C8+C9+C10+C11*(100%-((E11-P6)/F11)))/C14,IF(AND(P5&gt;E3,P5&lt;E4,P6&gt;E11,P6&lt;E12),(C4*((E4-P5)/F4)+C5+C6+C7+C8+C9+C10+C11+C12*(100%-((E12-P6)/F12)))/C14,IF(AND(P5&gt;E3,P5&lt;E4,P6&gt;E12),(C4*((E4-P5)/F4)+C5+C6+C7+C8+C9+C10+C11+C12+C13)/C14,IF(AND(P5&gt;E4,P5&lt;E5,P6&gt;E5,P6&lt;E6),C5*((E5-P5)/F5)/C14+C6*(100%-((E6-P6)/F6))/C14,IF(AND(P5&gt;E4,P5&lt;E5,P6&gt;E6,P6&lt;E7),(C5*((E5-P5)/F5)+C6+C7*(100%-((E7-P6)/F7)))/C14,IF(AND(P5&gt;E4,P5&lt;E5,P6&gt;E7,P6&lt;E8),(C5*((E5-P5)/F5)+C6+C7+C8*(100%-((E8-P6)/F8)))/C14,IF(AND(P5&gt;E4,P5&lt;E5,P6&gt;E8,P6&lt;E9),(C5*((E5-P5)/F5)+C6+C7+C8+C9*(100%-((E9-P6)/F9)))/C14,IF(AND(P5&gt;E4,P5&lt;E5,P6&gt;E9,P6&lt;E10),(C5*((E5-P5)/F5)+C6+C7+C8+C9+C10*(100%-((E10-P6)/F10)))/C14,IF(AND(P5&gt;E4,P5&lt;E5,P6&gt;E10,P6&lt;E11),(C5*((E5-P5)/F5)+C6+C7+C8+C9+C10+C11*(100%-((E11-P6)/F11)))/C14,IF(AND(P5&gt;E4,P5&lt;E5,P6&gt;E11,P6&lt;E12),(C5*((E5-P5)/F5)+C6+C7+C8+C9+C10+C11+C12*(100%-((E12-P6))/F12))/C14,IF(AND(P5&gt;E4,P5&lt;E5,P6&gt;E12),(C5*((E5-P5)/F5)+C6+C7+C8+C9+C10+C11+C12+C13)/C14,IF(AND(P5&gt;E5,P5&lt;E6,P6&gt;E6,P6&lt;E7),C6*((E6-P5)/F6)/C14+C7*(100%-((E7-P6)/F7))/C14,IF(AND(P5&gt;E5,P5&lt;E6,P6&gt;E7,P6&lt;E8),(C6*((E6-P5)/F6)+C7+C8*(100%-((E8-P6)/F8)))/C14,IF(AND(P5&gt;E5,P5&lt;E6,P6&gt;E8,P6&lt;E9),(C6*((E6-P5)/F6)+C7+C8+C9*(100%-((E9-P6)/F9)))/C14,IF(AND(P5&gt;E5,P5&lt;E6,P6&gt;E9,P6&lt;E10),(C6*((E6-P5)/F6)+C7+C8+C9+C10*(100%-((E10-P6)/F10)))/C14,IF(AND(P5&gt;E5,P5&lt;E6,P6&gt;E10,P6&lt;E11),(C6*((E6-P5)/F6)+C7+C8+C9+C10+C11*(100%-((E11-P6)/F11)))/C14,IF(AND(P5&gt;E5,P5&lt;E6,P6&gt;E11,P6&lt;E12),(C6*((E6-P5)/F6)+C7+C8+C9+C10+C11+C12*(100%-((E12-P6)/F12)))/C14,IF(AND(P5&gt;E5,P5&lt;E6,P6&gt;E12),(C6*((E6-P5)/F6)+C7+C8+C9+C10+C11+C12+C13)/C14,IF(AND(P5&gt;E6,P5&lt;E7,P6&gt;E7,P6&lt;E8),C7*((E7-P5)/F7)/C14+C8*(100%-((E8-P6)/F8))/C14,IF(AND(P5&gt;E6,P5&lt;E7,P6&gt;E8,P6&lt;E9),(C7*((E7-P5)/F7)+C8+C9*(100%-((E9-P6)/F9)))/C14,IF(AND(P5&gt;E6,P5&lt;E7,P6&gt;E9,P6&lt;E10),(C7*((E7-P5)/F7)+C8+C9+C10*(100%-((E10-P6)/F10)))/C14,IF(AND(P5&gt;E6,P5&lt;E7,P6&gt;E10,P6&lt;E11),(C7*((E7-P5)/F7)+C8+C9+C10+C11*(100%-((E11-P6)/F11)))/C14,IF(AND(P5&gt;E6,P5&lt;E7,P6&gt;E11,P6&lt;E12),(C7*((E7-P5)/F7)+C8+C9+C10+C11+C12*(100%-((E12-P6)/F12)))/C14,IF(AND(P5&gt;E6,P5&lt;E7,P6&gt;E12),(C7*((E7-P5)/F7)+C8+C9+C10+C11+C12+C13)/C14,IF(AND(P5&gt;E7,P5&lt;E8,P6&gt;E8,P6&lt;E9),C8*((E8-P5)/F8)/C14+C9*(100%-((E9-P6)/F9))/C14,IF(AND(P5&gt;E7,P5&lt;E8,P6&gt;E9,P6&lt;E10),(C8*((E8-P5)/F8)+C9+C10*(100%-((E10-P6)/F10)))/C14,IF(AND(P5&gt;E7,P5&lt;E8,P6&gt;E10,P6&lt;E11),(C8*((E8-P5)/F8)+C9+C10+C11*(100%-((E11-P6)/F11)))/C14,IF(AND(P5&gt;E7,P5&lt;E8,P6&gt;E11,P6&lt;E12),(C8*((E8-P5)/F8)+C9+C10+C11+C12*(100%-((E12-P6)/F12)))/C14,IF(AND(P5&gt;E7,P5&lt;E8,P6&gt;E12),(C8*((E8-P5)/F8)+C9+C10+C11+C12+C13)/C14,IF(AND(P5&gt;E8,P5&lt;E9,P6&gt;E9,P6&lt;E10),C9*((E9-P5)/F9)/C14+C10*(100%-((E10-P6)/F10))/C14,IF(AND(P5&gt;E8,P5&lt;E9,P6&gt;E10,P6&lt;E11),(C9*((E9-P5)/F9)+C10+C11*(100%-((E11-P6)/F11)))/C14,IF(AND(P5&gt;E8,P5&lt;E9,P6&gt;E11,P6&lt;E12),(C9*((E9-P5)/F9)+C10+C11+C12*(100%-((E12-P6)/F12)))/C14,IF(AND(P5&gt;E8,P5&lt;E9,P6&gt;E12),(C9*((E9-P5)/F9)+C10+C11+C12+C13)/C14,IF(AND(P5&gt;E9,P5&lt;E10,P6&gt;E10,P6&lt;E11),C10*((E10-P5)/F10)/C14+C11*(100%-((E11-P6)/F11))/C14,IF(AND(P5&gt;E9,P5&lt;E10,P6&gt;E11,P6&lt;E12),(C10*((E10-P5)/F10)+C11+C12*(100%-((E12-P6)/F12)))/C14,IF(AND(P5&gt;E9,P5&lt;E10,P6&gt;E12),(C10*((E10-P5)/F10)+C11+C12+C13)))/C14))))))))))))))))))))))))))))))))))))))))))))))))))</f>
        <v>0.23500059545489854</v>
      </c>
      <c r="E28">
        <f>IF(AND(P6&gt;E3,P6&lt;E4,P7&gt;E3,P7&lt;E4),((C4*(100%-((E4-P7)/F4)))-(C4*(100%-((E4-P6)/F4))))/C14,IF(AND(P6&gt;E4,P6&lt;E5,P7&gt;E4,P7&lt;E5),((C5*(100%-((E5-P7)/F5)))-(C5*(100%-((E5-P6)/F5))))/C14,IF(AND(P6&gt;E5,P6&lt;E6,P7&gt;E5,P7&lt;E6),((C6*(100%-((E6-P7)/F6)))-(C6*(100%-((E6-P6)/F6))))/C14,IF(AND(P6&gt;E6,P6&lt;E7,P7&gt;E6,P7&lt;E7),((C7*(100%-((E7-P7)/F7)))-(C7*(100%-((E7-P6)/F7))))/C14,IF(AND(P6&gt;E7,P6&lt;E8,P7&gt;E7,P7&lt;E8),((C8*(100%-((E8-P7)/F8)))-(C8*(100%-((E8-P6)/F8))))/C14,IF(AND(P6&gt;E8,P6&lt;E9,P7&gt;E8,P7&lt;E9),((C9*(100%-((E9-P7)/F9)))-(C9*(100%-((E9-P6)/F9))))/C14,IF(AND(P6&gt;E9,P6&lt;E10,P7&gt;E9,P7&lt;E10),((C10*(100%-((E10-P7)/F10)))-(C10*(100%-((E10-P6)/F10))))/C14,IF(AND(P6&gt;E10,P6&lt;E11,P7&gt;E10,P7&lt;E11),((C11*(100%-((E11-P7)/F11)))-(C11*(100%-((E11-P6)/F11))))/C14,IF(AND(P6&gt;E11,P6&lt;E12,P7&gt;E11,P7&lt;E12),((C12*(100%-((E12-P7)/F12)))-(C12*(100%-((E12-P6)/F12))))/C14,IF(AND(P6&gt;E12,P7&gt;E12),C13/C14,IF(AND(P6&gt;E3,P6&lt;E4,P7&gt;E4,P7&lt;E5),C4*((E4-P6)/F4)/C14+C5*(100%-((E5-P7)/F5))/C14,IF(AND(P6&gt;E3,P6&lt;E4,P7&gt;E5,P7&lt;E6),(C4*((E4-P6)/F4)+C5+C6*(100%-((E6-P7)/F6)))/C14,IF(AND(P6&gt;E3,P6&lt;E4,P7&gt;E6,P7&lt;E7),(C4*((E4-P6)/F4)+C5+C6+C7*(100%-((E7-P7)/F7)))/C14,IF(AND(P6&gt;E3,P6&lt;E4,P7&gt;E7,P7&lt;E8),(C4*((E4-P6)/F4)+C5+C6+C7+C8*(100%-((E8-P7)/F8)))/C14,IF(AND(P6&gt;E3,P6&lt;E4,P7&gt;E8,P7&lt;E9),(C4*((E4-P6)/F4)+C5+C6+C7+C8+C9*(100%-((E9-P7)/F9)))/C14,IF(AND(P6&gt;E3,P6&lt;E4,P7&gt;E9,P7&lt;E10),(C4*((E4-P6)/F4)+C5+C6+C7+C8+C9+C10*(100%-((E10-P7)/F10)))/C14,IF(AND(P6&gt;E3,P6&lt;E4,P7&gt;E10,P7&lt;E11),(C4*((E4-P6)/F4)+C5+C6+C7+C8+C9+C10+C11*(100%-((E11-P7)/F11)))/C14,IF(AND(P6&gt;E3,P6&lt;E4,P7&gt;E11,P7&lt;E12),(C4*((E4-P6)/F4)+C5+C6+C7+C8+C9+C10+C11+C12*(100%-((E12-P7)/F12)))/C14,IF(AND(P6&gt;E3,P6&lt;E4,P7&gt;E12),(C4*((E4-P6)/F4)+C5+C6+C7+C8+C9+C10+C11+C12+C13)/C14,IF(AND(P6&gt;E4,P6&lt;E5,P7&gt;E5,P7&lt;E6),C5*((E5-P6)/F5)/C14+C6*(100%-((E6-P7)/F6))/C14,IF(AND(P6&gt;E4,P6&lt;E5,P7&gt;E6,P7&lt;E7),(C5*((E5-P6)/F5)+C6+C7*(100%-((E7-P7)/F7)))/C14,IF(AND(P6&gt;E4,P6&lt;E5,P7&gt;E7,P7&lt;E8),(C5*((E5-P6)/F5)+C6+C7+C8*(100%-((E8-P7)/F8)))/C14,IF(AND(P6&gt;E4,P6&lt;E5,P7&gt;E8,P7&lt;E9),(C5*((E5-P6)/F5)+C6+C7+C8+C9*(100%-((E9-P7)/F9)))/C14,IF(AND(P6&gt;E4,P6&lt;E5,P7&gt;E9,P7&lt;E10),(C5*((E5-P6)/F5)+C6+C7+C8+C9+C10*(100%-((E10-P7)/F10)))/C14,IF(AND(P6&gt;E4,P6&lt;E5,P7&gt;E10,P7&lt;E11),(C5*((E5-P6)/F5)+C6+C7+C8+C9+C10+C11*(100%-((E11-P7)/F11)))/C14,IF(AND(P6&gt;E4,P6&lt;E5,P7&gt;E11,P7&lt;E12),(C5*((E5-P6)/F5)+C6+C7+C8+C9+C10+C11+C12*(100%-((E12-P7))/F12))/C14,IF(AND(P6&gt;E4,P6&lt;E5,P7&gt;E12),(C5*((E5-P6)/F5)+C6+C7+C8+C9+C10+C11+C12+C13)/C14,IF(AND(P6&gt;E5,P6&lt;E6,P7&gt;E6,P7&lt;E7),C6*((E6-P6)/F6)/C14+C7*(100%-((E7-P7)/F7))/C14,IF(AND(P6&gt;E5,P6&lt;E6,P7&gt;E7,P7&lt;E8),(C6*((E6-P6)/F6)+C7+C8*(100%-((E8-P7)/F8)))/C14,IF(AND(P6&gt;E5,P6&lt;E6,P7&gt;E8,P7&lt;E9),(C6*((E6-P6)/F6)+C7+C8+C9*(100%-((E9-P7)/F9)))/C14,IF(AND(P6&gt;E5,P6&lt;E6,P7&gt;E9,P7&lt;E10),(C6*((E6-P6)/F6)+C7+C8+C9+C10*(100%-((E10-P7)/F10)))/C14,IF(AND(P6&gt;E5,P6&lt;E6,P7&gt;E10,P7&lt;E11),(C6*((E6-P6)/F6)+C7+C8+C9+C10+C11*(100%-((E11-P7)/F11)))/C14,IF(AND(P6&gt;E5,P6&lt;E6,P7&gt;E11,P7&lt;E12),(C6*((E6-P6)/F6)+C7+C8+C9+C10+C11+C12*(100%-((E12-P7)/F12)))/C14,IF(AND(P6&gt;E5,P6&lt;E6,P7&gt;E12),(C6*((E6-P6)/F6)+C7+C8+C9+C10+C11+C12+C13)/C14,IF(AND(P6&gt;E6,P6&lt;E7,P7&gt;E7,P7&lt;E8),C7*((E7-P6)/F7)/C14+C8*(100%-((E8-P7)/F8))/C14,IF(AND(P6&gt;E6,P6&lt;E7,P7&gt;E8,P7&lt;E9),(C7*((E7-P6)/F7)+C8+C9*(100%-((E9-P7)/F9)))/C14,IF(AND(P6&gt;E6,P6&lt;E7,P7&gt;E9,P7&lt;E10),(C7*((E7-P6)/F7)+C8+C9+C10*(100%-((E10-P7)/F10)))/C14,IF(AND(P6&gt;E6,P6&lt;E7,P7&gt;E10,P7&lt;E11),(C7*((E7-P6)/F7)+C8+C9+C10+C11*(100%-((E11-P7)/F11)))/C14,IF(AND(P6&gt;E6,P6&lt;E7,P7&gt;E11,P7&lt;E12),(C7*((E7-P6)/F7)+C8+C9+C10+C11+C12*(100%-((E12-P7)/F12)))/C14,IF(AND(P6&gt;E6,P6&lt;E7,P7&gt;E12),(C7*((E7-P6)/F7)+C8+C9+C10+C11+C12+C13)/C14,IF(AND(P6&gt;E7,P6&lt;E8,P7&gt;E8,P7&lt;E9),C8*((E8-P6)/F8)/C14+C9*(100%-((E9-P7)/F9))/C14,IF(AND(P6&gt;E7,P6&lt;E8,P7&gt;E9,P7&lt;E10),(C8*((E8-P6)/F8)+C9+C10*(100%-((E10-P7)/F10)))/C14,IF(AND(P6&gt;E7,P6&lt;E8,P7&gt;E10,P7&lt;E11),(C8*((E8-P6)/F8)+C9+C10+C11*(100%-((E11-P7)/F11)))/C14,IF(AND(P6&gt;E7,P6&lt;E8,P7&gt;E11,P7&lt;E12),(C8*((E8-P6)/F8)+C9+C10+C11+C12*(100%-((E12-P7)/F12)))/C14,IF(AND(P6&gt;E7,P6&lt;E8,P7&gt;E12),(C8*((E8-P6)/F8)+C9+C10+C11+C12+C13)/C14,IF(AND(P6&gt;E8,P6&lt;E9,P7&gt;E9,P7&lt;E10),C9*((E9-P6)/F9)/C14+C10*(100%-((E10-P7)/F10))/C14,IF(AND(P6&gt;E8,P6&lt;E9,P7&gt;E10,P7&lt;E11),(C9*((E9-P6)/F9)+C10+C11*(100%-((E11-P7)/F11)))/C14,IF(AND(P6&gt;E8,P6&lt;E9,P7&gt;E11,P7&lt;E12),(C9*((E9-P6)/F9)+C10+C11+C12*(100%-((E12-P7)/F12)))/C14,IF(AND(P6&gt;E8,P6&lt;E9,P7&gt;E12),(C9*((E9-P6)/F9)+C10+C11+C12+C13)/C14,IF(AND(P6&gt;E9,P6&lt;E10,P7&gt;E10,P7&lt;E11),C10*((E10-P6)/F10)/C14+C11*(100%-((E11-P7)/F11))/C14,IF(AND(P6&gt;E9,P6&lt;E10,P7&gt;E11,P7&lt;E12),(C10*((E10-P6)/F10)+C11+C12*(100%-((E12-P7)/F12)))/C14,IF(AND(P6&gt;E9,P6&lt;E10,P7&gt;E12),(C10*((E10-P6)/F10)+C11+C12+C13)))/C14))))))))))))))))))))))))))))))))))))))))))))))))))</f>
        <v>0.12807125475685935</v>
      </c>
    </row>
    <row r="29" spans="3:22" x14ac:dyDescent="0.55000000000000004">
      <c r="C29" t="b">
        <f>IF(AND(P4&gt;E10,P4&lt;E11,P5&gt;E11,P5&lt;E12),C11*((E11-P4)/F11)/C14+C12*(100%-((E12-P5)/F12))/C14,IF(AND(P4&gt;E10,P4&lt;E11,P5&gt;E12),((C11*((E11-P4)/F11))+C12+C13)/C14,IF(AND(P4&gt;E11,P4&lt;E12,P5&gt;E12),((C12*((E12-P4)/F12))+C13)/C14)))</f>
        <v>0</v>
      </c>
      <c r="D29" t="b">
        <f>IF(AND(P5&gt;E10,P5&lt;E11,P6&gt;E11,P6&lt;E12),C11*((E11-P5)/F11)/C14+C12*(100%-((E12-P6)/F12))/C14,IF(AND(P5&gt;E10,P5&lt;E11,P6&gt;E12),((C11*((E11-P5)/F11))+C12+C13)/C14,IF(AND(P5&gt;E11,P5&lt;E12,P6&gt;E12),((C12*((E12-P5)/F12))+C13)/C14)))</f>
        <v>0</v>
      </c>
      <c r="E29" t="b">
        <f>IF(AND(P6&gt;E10,P6&lt;E11,P7&gt;E11,P7&lt;E12),C11*((E11-P6)/F11)/C14+C12*(100%-((E12-P7)/F12))/C14,IF(AND(P6&gt;E10,P6&lt;E11,P7&gt;E12),((C11*((E11-P6)/F11))+C12+C13)/C14,IF(AND(P6&gt;E11,P6&lt;E12,P7&gt;E12),((C12*((E12-P6)/F12))+C13)/C14)))</f>
        <v>0</v>
      </c>
    </row>
    <row r="31" spans="3:22" x14ac:dyDescent="0.55000000000000004">
      <c r="C31" t="b">
        <f>IF(AND(Q4&lt;L3,Q5&gt;L3,Q5&lt;L4),(J3*((L3-Q4)/M3)+J4*(100%-((L4-Q5)/M4)))/J14,IF(AND(Q4&lt;L3,Q5&lt;L3),((J3*(100%-((L3-Q5)/M3)))-J3*(100%-((L3-Q4)/M3)))/J14,IF(AND(Q4&lt;L3,Q5&gt;L4,Q5&lt;L5),(J3*((L3-Q4)/M3)+J4+J5*(100%-((L5-Q5)/M5)))/J14,IF(AND(Q4&lt;L3,Q5&gt;L5,Q5&lt;L6),(J3*((L3-Q4)/M3)+J4+J5+J6*(100%-((L6-Q5)/M6)))/J14,IF(AND(Q4&lt;L3,Q5&gt;L6,Q5&lt;L7),(J3*((L3-Q4)/M3)+J4+J5+J6+J7*(100%-((L7-Q5)/M7)))/J14,IF(AND(Q4&lt;L3,Q5&gt;L7,Q5&lt;L8),(J3*((L3-Q4)/M3)+J4+J5+J6+J7+J8*(100%-((L8-Q5)/M8)))/J14,IF(AND(Q4&lt;L3,Q5&gt;L8,Q5&lt;L9),(J3*((L3-Q4)/M3)+J4+J5+J6+J7+J8+J9*(100%-((L9-Q5)/M9)))/J14,IF(AND(Q4&lt;L3,Q5&gt;L9,Q5&lt;L10),(J3*((L3-Q4)/M3)+J4+J5+J6+J7+J8+J9+J10*(100%-((L10-Q5)/M10)))/J14,IF(AND(Q4&lt;L3,Q5&gt;L10,Q5&lt;L11),(J3*((L3-Q4)/M3)+J4+J5+J6+J7+J8+J9+J10+J11*(100%-((L11-Q5)/M11)))/J14,IF(AND(Q4&lt;L3,Q5&gt;L11,Q5&lt;L12),(J3*((L3-Q4)/M3)+J4+J5+J6+J7+J8+J9+J10+J11+J12*(100%-((L12-Q5)/M12)))/J14,IF(AND(Q4&lt;L3,Q5&gt;L12),((J3*((L3-Q4)/M3)+J4+J5+J6+J7+J8+J9+J10+J11+J12+J13)/J14))))))))))))</f>
        <v>0</v>
      </c>
      <c r="D31" t="b">
        <f>IF(AND(Q5&lt;L3,Q6&gt;L3,Q6&lt;L4),(J3*((L3-Q5)/M3)+J4*(100%-((L4-Q6)/M4)))/J14,IF(AND(Q5&lt;L3,Q6&lt;L3),((J3*(100%-((L3-Q6)/M3)))-J3*(100%-((L3-Q5)/M3)))/J14,IF(AND(Q5&lt;L3,Q6&gt;L4,Q6&lt;L5),(J3*((L3-Q5)/M3)+J4+J5*(100%-((L5-Q6)/M5)))/J14,IF(AND(Q5&lt;L3,Q6&gt;L5,Q6&lt;L6),(J3*((L3-Q5)/M3)+J4+J5+J6*(100%-((L6-Q6)/M6)))/J14,IF(AND(Q5&lt;L3,Q6&gt;L6,Q6&lt;L7),(J3*((L3-Q5)/M3)+J4+J5+J6+J7*(100%-((L7-Q6)/M7)))/J14,IF(AND(Q5&lt;L3,Q6&gt;L7,Q6&lt;L8),(J3*((L3-Q5)/M3)+J4+J5+J6+J7+J8*(100%-((L8-Q6)/M8)))/J14,IF(AND(Q5&lt;L3,Q6&gt;L8,Q6&lt;L9),(J3*((L3-Q5)/M3)+J4+J5+J6+J7+J8+J9*(100%-((L9-Q6)/M9)))/J14,IF(AND(Q5&lt;L3,Q6&gt;L9,Q6&lt;L10),(J3*((L3-Q5)/M3)+J4+J5+J6+J7+J8+J9+J10*(100%-((L10-Q6)/M10)))/J14,IF(AND(Q5&lt;L3,Q6&gt;L10,Q6&lt;L11),(J3*((L3-Q5)/M3)+J4+J5+J6+J7+J8+J9+J10+J11*(100%-((L11-Q6)/M11)))/J14,IF(AND(Q5&lt;L3,Q6&gt;L11,Q6&lt;L12),(J3*((L3-Q5)/M3)+J4+J5+J6+J7+J8+J9+J10+J11+J12*(100%-((L12-Q6)/M12)))/J14,IF(AND(Q5&lt;L3,Q6&gt;L12),((J3*((L3-Q5)/M3)+J4+J5+J6+J7+J8+J9+J10+J11+J12+J13)/J14))))))))))))</f>
        <v>0</v>
      </c>
      <c r="E31" t="b">
        <f>IF(AND(Q6&lt;L3,Q7&gt;L3,Q7&lt;L4),(J3*((L3-Q6)/M3)+J4*(100%-((L4-Q7)/M4)))/J14,IF(AND(Q6&lt;L3,Q7&lt;L3),((J3*(100%-((L3-Q7)/M3)))-J3*(100%-((L3-Q6)/M3)))/J14,IF(AND(Q6&lt;L3,Q7&gt;L4,Q7&lt;L5),(J3*((L3-Q6)/M3)+J4+J5*(100%-((L5-Q7)/M5)))/J14,IF(AND(Q6&lt;L3,Q7&gt;L5,Q7&lt;L6),(J3*((L3-Q6)/M3)+J4+J5+J6*(100%-((L6-Q7)/M6)))/J14,IF(AND(Q6&lt;L3,Q7&gt;L6,Q7&lt;L7),(J3*((L3-Q6)/M3)+J4+J5+J6+J7*(100%-((L7-Q7)/M7)))/J14,IF(AND(Q6&lt;L3,Q7&gt;L7,Q7&lt;L8),(J3*((L3-Q6)/M3)+J4+J5+J6+J7+J8*(100%-((L8-Q7)/M8)))/J14,IF(AND(Q6&lt;L3,Q7&gt;L8,Q7&lt;L9),(J3*((L3-Q6)/M3)+J4+J5+J6+J7+J8+J9*(100%-((L9-Q7)/M9)))/J14,IF(AND(Q6&lt;L3,Q7&gt;L9,Q7&lt;L10),(J3*((L3-Q6)/M3)+J4+J5+J6+J7+J8+J9+J10*(100%-((L10-Q7)/M10)))/J14,IF(AND(Q6&lt;L3,Q7&gt;L10,Q7&lt;L11),(J3*((L3-Q6)/M3)+J4+J5+J6+J7+J8+J9+J10+J11*(100%-((L11-Q7)/M11)))/J14,IF(AND(Q6&lt;L3,Q7&gt;L11,Q7&lt;L12),(J3*((L3-Q6)/M3)+J4+J5+J6+J7+J8+J9+J10+J11+J12*(100%-((L12-Q7)/M12)))/J14,IF(AND(Q6&lt;L3,Q7&gt;L12),((J3*((L3-Q6)/M3)+J4+J5+J6+J7+J8+J9+J10+J11+J12+J13)/J14))))))))))))</f>
        <v>0</v>
      </c>
    </row>
    <row r="32" spans="3:22" x14ac:dyDescent="0.55000000000000004">
      <c r="C32">
        <f>IF(AND(Q4&gt;L3,Q4&lt;L4,Q5&gt;L3,Q5&lt;L4),((J4*(100%-((L4-Q5)/M4)))-(J4*(100%-((L4-Q4)/M4))))/J14,IF(AND(Q4&gt;L4,Q4&lt;L5,Q5&gt;L4,Q5&lt;L5),((J5*(100%-((L5-Q5)/M5)))-(J5*(100%-((L5-Q4)/M5))))/J14,IF(AND(Q4&gt;L5,Q4&lt;L6,Q5&gt;L5,Q5&lt;L6),((J6*(100%-((L6-Q5)/M6)))-(J6*(100%-((L6-Q4)/M6))))/J14,IF(AND(Q4&gt;L6,Q4&lt;L7,Q5&gt;L6,Q5&lt;L7),((J7*(100%-((L7-Q5)/M7)))-(J7*(100%-((L7-Q4)/M7))))/J14,IF(AND(Q4&gt;L7,Q4&lt;L8,Q5&gt;L7,Q5&lt;L8),((J8*(100%-((L8-Q5)/M8)))-(J8*(100%-((L8-Q4)/M8))))/J14,IF(AND(Q4&gt;L8,Q4&lt;L9,Q5&gt;L8,Q5&lt;L9),((J9*(100%-((L9-Q5)/M9)))-(J9*(100%-((L9-Q4)/M9))))/J14,IF(AND(Q4&gt;L9,Q4&lt;L10,Q5&gt;L9,Q5&lt;L10),((J10*(100%-((L10-Q5)/M10)))-(J10*(100%-((L10-Q4)/M10))))/J14,IF(AND(Q4&gt;L10,Q4&lt;L11,Q5&gt;L10,Q5&lt;L11),((J11*(100%-((L11-Q5)/M11)))-(J11*(100%-((L11-Q4)/M11))))/J14,IF(AND(Q4&gt;L11,Q4&lt;L12,Q5&gt;L11,Q5&lt;L12),((J12*(100%-((L12-Q5)/M12)))-(J12*(100%-((L12-Q4)/M12))))/J14,IF(AND(Q4&gt;L12,Q5&gt;L12),J13/J14,IF(AND(Q4&gt;L3,Q4&lt;L4,Q5&gt;L4,Q5&lt;L5),J4*((L4-Q4)/M4)/J14+J5*(100%-((L5-Q5)/M5))/J14,IF(AND(Q4&gt;L3,Q4&lt;L4,Q5&gt;L5,Q5&lt;L6),(J4*((L4-Q4)/M4)+J5+J6*(100%-((L6-Q5)/M6)))/J14,IF(AND(Q4&gt;L3,Q4&lt;L4,Q5&gt;L6,Q5&lt;L7),(J4*((L4-Q4)/M4)+J5+J6+J7*(100%-((L7-Q5)/M7)))/J14,IF(AND(Q4&gt;L3,Q4&lt;L4,Q5&gt;L7,Q5&lt;L8),(J4*((L4-Q4)/M4)+J5+J6+J7+J8*(100%-((L8-Q5)/M8)))/J14,IF(AND(Q4&gt;L3,Q4&lt;L4,Q5&gt;L8,Q5&lt;L9),(J4*((L4-Q4)/M4)+J5+J6+J7+J8+J9*(100%-((L9-Q5)/M9)))/J14,IF(AND(Q4&gt;L3,Q4&lt;L4,Q5&gt;L9,Q5&lt;L10),(J4*((L4-Q4)/M4)+J5+J6+J7+J8+J9+J10*(100%-((L10-Q5)/M10)))/J14,IF(AND(Q4&gt;L3,Q4&lt;L4,Q5&gt;L10,Q5&lt;L11),(J4*((L4-Q4)/M4)+J5+J6+J7+J8+J9+J10+J11*(100%-((L11-Q5)/M11)))/J14,IF(AND(Q4&gt;L3,Q4&lt;L4,Q5&gt;L11,Q5&lt;L12),(J4*((L4-Q4)/M4)+J5+J6+J7+J8+J9+J10+J11+J12*(100%-((L12-Q5)/M12)))/J14,IF(AND(Q4&gt;L3,Q4&lt;L4,Q5&gt;L12),(J4*((L4-Q4)/M4)+J5+J6+J7+J8+J9+J10+J11+J12+J13)/J14,IF(AND(Q4&gt;L4,Q4&lt;L5,Q5&gt;L5,Q5&lt;L6),J5*((L5-Q4)/M5)/J14+J6*(100%-((L6-Q5)/M6))/J14,IF(AND(Q4&gt;L4,Q4&lt;L5,Q5&gt;L6,Q5&lt;L7),(J5*((L5-Q4)/M5)+J6+J7*(100%-((L7-Q5)/M7)))/J14,IF(AND(Q4&gt;L4,Q4&lt;L5,Q5&gt;L7,Q5&lt;L8),(J5*((L5-Q4)/M5)+J6+J7+J8*(100%-((L8-Q5)/M8)))/J14,IF(AND(Q4&gt;L4,Q4&lt;L5,Q5&gt;L8,Q5&lt;L9),(J5*((L5-Q4)/M5)+J6+J7+J8+J9*(100%-((L9-Q5)/M9)))/J14,IF(AND(Q4&gt;L4,Q4&lt;L5,Q5&gt;L9,Q5&lt;L10),(J5*((L5-Q4)/M5)+J6+J7+J8+J9+J10*(100%-((L10-Q5)/M10)))/J14,IF(AND(Q4&gt;L4,Q4&lt;L5,Q5&gt;L10,Q5&lt;L11),(J5*((L5-Q4)/M5)+J6+J7+J8+J9+J10+J11*(100%-((L11-Q5)/M11)))/J14,IF(AND(Q4&gt;L4,Q4&lt;L5,Q5&gt;L11,Q5&lt;L12),(J5*((L5-Q4)/M5)+J6+J7+J8+J9+J10+J11+J12*(100%-((L12-Q5))/M12))/J14,IF(AND(Q4&gt;L4,Q4&lt;L5,Q5&gt;L12),(J5*((L5-Q4)/M5)+J6+J7+J8+J9+J10+J11+J12+J13)/J14,IF(AND(Q4&gt;L5,Q4&lt;L6,Q5&gt;L6,Q5&lt;L7),J6*((L6-Q4)/M6)/J14+J7*(100%-((L7-Q5)/M7))/J14,IF(AND(Q4&gt;L5,Q4&lt;L6,Q5&gt;L7,Q5&lt;L8),(J6*((L6-Q4)/M6)+J7+J8*(100%-((L8-Q5)/M8)))/J14,IF(AND(Q4&gt;L5,Q4&lt;L6,Q5&gt;L8,Q5&lt;L9),(J6*((L6-Q4)/M6)+J7+J8+J9*(100%-((L9-Q5)/M9)))/J14,IF(AND(Q4&gt;L5,Q4&lt;L6,Q5&gt;L9,Q5&lt;L10),(J6*((L6-Q4)/M6)+J7+J8+J9+J10*(100%-((L10-Q5)/M10)))/J14,IF(AND(Q4&gt;L5,Q4&lt;L6,Q5&gt;L10,Q5&lt;L11),(J6*((L6-Q4)/M6)+J7+J8+J9+J10+J11*(100%-((L11-Q5)/M11)))/J14,IF(AND(Q4&gt;L5,Q4&lt;L6,Q5&gt;L11,Q5&lt;L12),(J6*((L6-Q4)/M6)+J7+J8+J9+J10+J11+J12*(100%-((L12-Q5)/M12)))/J14,IF(AND(Q4&gt;L5,Q4&lt;L6,Q5&gt;L12),(J6*((L6-Q4)/M6)+J7+J8+J9+J10+J11+J12+J13)/J14,IF(AND(Q4&gt;L6,Q4&lt;L7,Q5&gt;L7,Q5&lt;L8),J7*((L7-Q4)/M7)/J14+J8*(100%-((L8-Q5)/M8))/J14,IF(AND(Q4&gt;L6,Q4&lt;L7,Q5&gt;L8,Q5&lt;L9),(J7*((L7-Q4)/M7)+J8+J9*(100%-((L9-Q5)/M9)))/J14,IF(AND(Q4&gt;L6,Q4&lt;L7,Q5&gt;L9,Q5&lt;L10),(J7*((L7-Q4)/M7)+J8+J9+J10*(100%-((L10-Q5)/M10)))/J14,IF(AND(Q4&gt;L6,Q4&lt;L7,Q5&gt;L10,Q5&lt;L11),(J7*((L7-Q4)/M7)+J8+J9+J10+J11*(100%-((L11-Q5)/M11)))/J14,IF(AND(Q4&gt;L6,Q4&lt;L7,Q5&gt;L11,Q5&lt;L12),(J7*((L7-Q4)/M7)+J8+J9+J10+J11+J12*(100%-((L12-Q5)/M12)))/J14,IF(AND(Q4&gt;L6,Q4&lt;L7,Q5&gt;L12),(J7*((L7-Q4)/M7)+J8+J9+J10+J11+J12+J13)/J14,IF(AND(Q4&gt;L7,Q4&lt;L8,Q5&gt;L8,Q5&lt;L9),J8*((L8-Q4)/M8)/J14+J9*(100%-((L9-Q5)/M9))/J14,IF(AND(Q4&gt;L7,Q4&lt;L8,Q5&gt;L9,Q5&lt;L10),(J8*((L8-Q4)/M8)+J9+J10*(100%-((L10-Q5)/M10)))/J14,IF(AND(Q4&gt;L7,Q4&lt;L8,Q5&gt;L10,Q5&lt;L11),(J8*((L8-Q4)/M8)+J9+J10+J11*(100%-((L11-Q5)/M11)))/J14,IF(AND(Q4&gt;L7,Q4&lt;L8,Q5&gt;L11,Q5&lt;L12),(J8*((L8-Q4)/M8)+J9+J10+J11+J12*(100%-((L12-Q5)/M12)))/J14,IF(AND(Q4&gt;L7,Q4&lt;L8,Q5&gt;L12),(J8*((L8-Q4)/M8)+J9+J10+J11+J12+J13)/J14,IF(AND(Q4&gt;L8,Q4&lt;L9,Q5&gt;L9,Q5&lt;L10),J9*((L9-Q4)/M9)/J14+J10*(100%-((L10-Q5)/M10))/J14,IF(AND(Q4&gt;L8,Q4&lt;L9,Q5&gt;L10,Q5&lt;L11),(J9*((L9-Q4)/M9)+J10+J11*(100%-((L11-Q5)/M11)))/J14,IF(AND(Q4&gt;L8,Q4&lt;L9,Q5&gt;L11,Q5&lt;L12),(J9*((L9-Q4)/M9)+J10+J11+J12*(100%-((L12-Q5)/M12)))/J14,IF(AND(Q4&gt;L8,Q4&lt;L9,Q5&gt;L12),(J9*((L9-Q4)/M9)+J10+J11+J12+J13)/J14,IF(AND(Q4&gt;L9,Q4&lt;L10,Q5&gt;L10,Q5&lt;L11),J10*((L10-Q4)/M10)/J14+J11*(100%-((L11-Q5)/M11))/J14,IF(AND(Q4&gt;L9,Q4&lt;L10,Q5&gt;L11,Q5&lt;L12),(J10*((L10-Q4)/M10)+J11+J12*(100%-((L12-Q5)/M12)))/J14,IF(AND(Q4&gt;L9,Q4&lt;L10,Q5&gt;L12),(J10*((L10-Q4)/M10)+J11+J12+J13)))/J14))))))))))))))))))))))))))))))))))))))))))))))))))</f>
        <v>4.9973916989785504E-2</v>
      </c>
      <c r="D32">
        <f>IF(AND(Q5&gt;L3,Q5&lt;L4,Q6&gt;L3,Q6&lt;L4),((J4*(100%-((L4-Q6)/M4)))-(J4*(100%-((L4-Q5)/M4))))/J14,IF(AND(Q5&gt;L4,Q5&lt;L5,Q6&gt;L4,Q6&lt;L5),((J5*(100%-((L5-Q6)/M5)))-(J5*(100%-((L5-Q5)/M5))))/J14,IF(AND(Q5&gt;L5,Q5&lt;L6,Q6&gt;L5,Q6&lt;L6),((J6*(100%-((L6-Q6)/M6)))-(J6*(100%-((L6-Q5)/M6))))/J14,IF(AND(Q5&gt;L6,Q5&lt;L7,Q6&gt;L6,Q6&lt;L7),((J7*(100%-((L7-Q6)/M7)))-(J7*(100%-((L7-Q5)/M7))))/J14,IF(AND(Q5&gt;L7,Q5&lt;L8,Q6&gt;L7,Q6&lt;L8),((J8*(100%-((L8-Q6)/M8)))-(J8*(100%-((L8-Q5)/M8))))/J14,IF(AND(Q5&gt;L8,Q5&lt;L9,Q6&gt;L8,Q6&lt;L9),((J9*(100%-((L9-Q6)/M9)))-(J9*(100%-((L9-Q5)/M9))))/J14,IF(AND(Q5&gt;L9,Q5&lt;L10,Q6&gt;L9,Q6&lt;L10),((J10*(100%-((L10-Q6)/M10)))-(J10*(100%-((L10-Q5)/M10))))/J14,IF(AND(Q5&gt;L10,Q5&lt;L11,Q6&gt;L10,Q6&lt;L11),((J11*(100%-((L11-Q6)/M11)))-(J11*(100%-((L11-Q5)/M11))))/J14,IF(AND(Q5&gt;L11,Q5&lt;L12,Q6&gt;L11,Q6&lt;L12),((J12*(100%-((L12-Q6)/M12)))-(J12*(100%-((L12-Q5)/M12))))/J14,IF(AND(Q5&gt;L12,Q6&gt;L12),J13/J14,IF(AND(Q5&gt;L3,Q5&lt;L4,Q6&gt;L4,Q6&lt;L5),J4*((L4-Q5)/M4)/J14+J5*(100%-((L5-Q6)/M5))/J14,IF(AND(Q5&gt;L3,Q5&lt;L4,Q6&gt;L5,Q6&lt;L6),(J4*((L4-Q5)/M4)+J5+J6*(100%-((L6-Q6)/M6)))/J14,IF(AND(Q5&gt;L3,Q5&lt;L4,Q6&gt;L6,Q6&lt;L7),(J4*((L4-Q5)/M4)+J5+J6+J7*(100%-((L7-Q6)/M7)))/J14,IF(AND(Q5&gt;L3,Q5&lt;L4,Q6&gt;L7,Q6&lt;L8),(J4*((L4-Q5)/M4)+J5+J6+J7+J8*(100%-((L8-Q6)/M8)))/J14,IF(AND(Q5&gt;L3,Q5&lt;L4,Q6&gt;L8,Q6&lt;L9),(J4*((L4-Q5)/M4)+J5+J6+J7+J8+J9*(100%-((L9-Q6)/M9)))/J14,IF(AND(Q5&gt;L3,Q5&lt;L4,Q6&gt;L9,Q6&lt;L10),(J4*((L4-Q5)/M4)+J5+J6+J7+J8+J9+J10*(100%-((L10-Q6)/M10)))/J14,IF(AND(Q5&gt;L3,Q5&lt;L4,Q6&gt;L10,Q6&lt;L11),(J4*((L4-Q5)/M4)+J5+J6+J7+J8+J9+J10+J11*(100%-((L11-Q6)/M11)))/J14,IF(AND(Q5&gt;L3,Q5&lt;L4,Q6&gt;L11,Q6&lt;L12),(J4*((L4-Q5)/M4)+J5+J6+J7+J8+J9+J10+J11+J12*(100%-((L12-Q6)/M12)))/J14,IF(AND(Q5&gt;L3,Q5&lt;L4,Q6&gt;L12),(J4*((L4-Q5)/M4)+J5+J6+J7+J8+J9+J10+J11+J12+J13)/J14,IF(AND(Q5&gt;L4,Q5&lt;L5,Q6&gt;L5,Q6&lt;L6),J5*((L5-Q5)/M5)/J14+J6*(100%-((L6-Q6)/M6))/J14,IF(AND(Q5&gt;L4,Q5&lt;L5,Q6&gt;L6,Q6&lt;L7),(J5*((L5-Q5)/M5)+J6+J7*(100%-((L7-Q6)/M7)))/J14,IF(AND(Q5&gt;L4,Q5&lt;L5,Q6&gt;L7,Q6&lt;L8),(J5*((L5-Q5)/M5)+J6+J7+J8*(100%-((L8-Q6)/M8)))/J14,IF(AND(Q5&gt;L4,Q5&lt;L5,Q6&gt;L8,Q6&lt;L9),(J5*((L5-Q5)/M5)+J6+J7+J8+J9*(100%-((L9-Q6)/M9)))/J14,IF(AND(Q5&gt;L4,Q5&lt;L5,Q6&gt;L9,Q6&lt;L10),(J5*((L5-Q5)/M5)+J6+J7+J8+J9+J10*(100%-((L10-Q6)/M10)))/J14,IF(AND(Q5&gt;L4,Q5&lt;L5,Q6&gt;L10,Q6&lt;L11),(J5*((L5-Q5)/M5)+J6+J7+J8+J9+J10+J11*(100%-((L11-Q6)/M11)))/J14,IF(AND(Q5&gt;L4,Q5&lt;L5,Q6&gt;L11,Q6&lt;L12),(J5*((L5-Q5)/M5)+J6+J7+J8+J9+J10+J11+J12*(100%-((L12-Q6))/M12))/J14,IF(AND(Q5&gt;L4,Q5&lt;L5,Q6&gt;L12),(J5*((L5-Q5)/M5)+J6+J7+J8+J9+J10+J11+J12+J13)/J14,IF(AND(Q5&gt;L5,Q5&lt;L6,Q6&gt;L6,Q6&lt;L7),J6*((L6-Q5)/M6)/J14+J7*(100%-((L7-Q6)/M7))/J14,IF(AND(Q5&gt;L5,Q5&lt;L6,Q6&gt;L7,Q6&lt;L8),(J6*((L6-Q5)/M6)+J7+J8*(100%-((L8-Q6)/M8)))/J14,IF(AND(Q5&gt;L5,Q5&lt;L6,Q6&gt;L8,Q6&lt;L9),(J6*((L6-Q5)/M6)+J7+J8+J9*(100%-((L9-Q6)/M9)))/J14,IF(AND(Q5&gt;L5,Q5&lt;L6,Q6&gt;L9,Q6&lt;L10),(J6*((L6-Q5)/M6)+J7+J8+J9+J10*(100%-((L10-Q6)/M10)))/J14,IF(AND(Q5&gt;L5,Q5&lt;L6,Q6&gt;L10,Q6&lt;L11),(J6*((L6-Q5)/M6)+J7+J8+J9+J10+J11*(100%-((L11-Q6)/M11)))/J14,IF(AND(Q5&gt;L5,Q5&lt;L6,Q6&gt;L11,Q6&lt;L12),(J6*((L6-Q5)/M6)+J7+J8+J9+J10+J11+J12*(100%-((L12-Q6)/M12)))/J14,IF(AND(Q5&gt;L5,Q5&lt;L6,Q6&gt;L12),(J6*((L6-Q5)/M6)+J7+J8+J9+J10+J11+J12+J13)/J14,IF(AND(Q5&gt;L6,Q5&lt;L7,Q6&gt;L7,Q6&lt;L8),J7*((L7-Q5)/M7)/J14+J8*(100%-((L8-Q6)/M8))/J14,IF(AND(Q5&gt;L6,Q5&lt;L7,Q6&gt;L8,Q6&lt;L9),(J7*((L7-Q5)/M7)+J8+J9*(100%-((L9-Q6)/M9)))/J14,IF(AND(Q5&gt;L6,Q5&lt;L7,Q6&gt;L9,Q6&lt;L10),(J7*((L7-Q5)/M7)+J8+J9+J10*(100%-((L10-Q6)/M10)))/J14,IF(AND(Q5&gt;L6,Q5&lt;L7,Q6&gt;L10,Q6&lt;L11),(J7*((L7-Q5)/M7)+J8+J9+J10+J11*(100%-((L11-Q6)/M11)))/J14,IF(AND(Q5&gt;L6,Q5&lt;L7,Q6&gt;L11,Q6&lt;L12),(J7*((L7-Q5)/M7)+J8+J9+J10+J11+J12*(100%-((L12-Q6)/M12)))/J14,IF(AND(Q5&gt;L6,Q5&lt;L7,Q6&gt;L12),(J7*((L7-Q5)/M7)+J8+J9+J10+J11+J12+J13)/J14,IF(AND(Q5&gt;L7,Q5&lt;L8,Q6&gt;L8,Q6&lt;L9),J8*((L8-Q5)/M8)/J14+J9*(100%-((L9-Q6)/M9))/J14,IF(AND(Q5&gt;L7,Q5&lt;L8,Q6&gt;L9,Q6&lt;L10),(J8*((L8-Q5)/M8)+J9+J10*(100%-((L10-Q6)/M10)))/J14,IF(AND(Q5&gt;L7,Q5&lt;L8,Q6&gt;L10,Q6&lt;L11),(J8*((L8-Q5)/M8)+J9+J10+J11*(100%-((L11-Q6)/M11)))/J14,IF(AND(Q5&gt;L7,Q5&lt;L8,Q6&gt;L11,Q6&lt;L12),(J8*((L8-Q5)/M8)+J9+J10+J11+J12*(100%-((L12-Q6)/M12)))/J14,IF(AND(Q5&gt;L7,Q5&lt;L8,Q6&gt;L12),(J8*((L8-Q5)/M8)+J9+J10+J11+J12+J13)/J14,IF(AND(Q5&gt;L8,Q5&lt;L9,Q6&gt;L9,Q6&lt;L10),J9*((L9-Q5)/M9)/J14+J10*(100%-((L10-Q6)/M10))/J14,IF(AND(Q5&gt;L8,Q5&lt;L9,Q6&gt;L10,Q6&lt;L11),(J9*((L9-Q5)/M9)+J10+J11*(100%-((L11-Q6)/M11)))/J14,IF(AND(Q5&gt;L8,Q5&lt;L9,Q6&gt;L11,Q6&lt;L12),(J9*((L9-Q5)/M9)+J10+J11+J12*(100%-((L12-Q6)/M12)))/J14,IF(AND(Q5&gt;L8,Q5&lt;L9,Q6&gt;L12),(J9*((L9-Q5)/M9)+J10+J11+J12+J13)/J14,IF(AND(Q5&gt;L9,Q5&lt;L10,Q6&gt;L10,Q6&lt;L11),J10*((L10-Q5)/M10)/J14+J11*(100%-((L11-Q6)/M11))/J14,IF(AND(Q5&gt;L9,Q5&lt;L10,Q6&gt;L11,Q6&lt;L12),(J10*((L10-Q5)/M10)+J11+J12*(100%-((L12-Q6)/M12)))/J14,IF(AND(Q5&gt;L9,Q5&lt;L10,Q6&gt;L12),(J10*((L10-Q5)/M10)+J11+J12+J13)))/J14))))))))))))))))))))))))))))))))))))))))))))))))))</f>
        <v>0.20590887834632465</v>
      </c>
      <c r="E32">
        <f>IF(AND(Q6&gt;L3,Q6&lt;L4,Q7&gt;L3,Q7&lt;L4),((J4*(100%-((L4-Q7)/M4)))-(J4*(100%-((L4-Q6)/M4))))/J14,IF(AND(Q6&gt;L4,Q6&lt;L5,Q7&gt;L4,Q7&lt;L5),((J5*(100%-((L5-Q7)/M5)))-(J5*(100%-((L5-Q6)/M5))))/J14,IF(AND(Q6&gt;L5,Q6&lt;L6,Q7&gt;L5,Q7&lt;L6),((J6*(100%-((L6-Q7)/M6)))-(J6*(100%-((L6-Q6)/M6))))/J14,IF(AND(Q6&gt;L6,Q6&lt;L7,Q7&gt;L6,Q7&lt;L7),((J7*(100%-((L7-Q7)/M7)))-(J7*(100%-((L7-Q6)/M7))))/J14,IF(AND(Q6&gt;L7,Q6&lt;L8,Q7&gt;L7,Q7&lt;L8),((J8*(100%-((L8-Q7)/M8)))-(J8*(100%-((L8-Q6)/M8))))/J14,IF(AND(Q6&gt;L8,Q6&lt;L9,Q7&gt;L8,Q7&lt;L9),((J9*(100%-((L9-Q7)/M9)))-(J9*(100%-((L9-Q6)/M9))))/J14,IF(AND(Q6&gt;L9,Q6&lt;L10,Q7&gt;L9,Q7&lt;L10),((J10*(100%-((L10-Q7)/M10)))-(J10*(100%-((L10-Q6)/M10))))/J14,IF(AND(Q6&gt;L10,Q6&lt;L11,Q7&gt;L10,Q7&lt;L11),((J11*(100%-((L11-Q7)/M11)))-(J11*(100%-((L11-Q6)/M11))))/J14,IF(AND(Q6&gt;L11,Q6&lt;L12,Q7&gt;L11,Q7&lt;L12),((J12*(100%-((L12-Q7)/M12)))-(J12*(100%-((L12-Q6)/M12))))/J14,IF(AND(Q6&gt;L12,Q7&gt;L12),J13/J14,IF(AND(Q6&gt;L3,Q6&lt;L4,Q7&gt;L4,Q7&lt;L5),J4*((L4-Q6)/L5)/J14+J5*(100%-((L5-Q7)/M5))/J14,IF(AND(Q6&gt;L3,Q6&lt;L4,Q7&gt;L5,Q7&lt;L6),(J4*((L4-Q6)/M4)+J5+J6*(100%-((L6-Q7)/M6)))/J14,IF(AND(Q6&gt;L3,Q6&lt;L4,Q7&gt;L6,Q7&lt;L7),(J4*((L4-Q6)/M4)+J5+J6+J7*(100%-((L7-Q7)/M7)))/J14,IF(AND(Q6&gt;L3,Q6&lt;L4,Q7&gt;L7,Q7&lt;L8),(J4*((L4-Q6)/M4)+J5+J6+J7+J8*(100%-((L8-Q7)/M8)))/J14,IF(AND(Q6&gt;L3,Q6&lt;L4,Q7&gt;L8,Q7&lt;L9),(J4*((L4-Q6)/M4)+J5+J6+J7+J8+J9*(100%-((L9-Q7)/M9)))/J14,IF(AND(Q6&gt;L3,Q6&lt;L4,Q7&gt;L9,Q7&lt;L10),(J4*((L4-Q6)/M4)+J5+J6+J7+J8+J9+J10*(100%-((L10-Q7)/M10)))/J14,IF(AND(Q6&gt;L3,Q6&lt;L4,Q7&gt;L10,Q7&lt;L11),(J4*((L4-Q6)/M4)+J5+J6+J7+J8+J9+J10+J11*(100%-((L11-Q7)/M11)))/J14,IF(AND(Q6&gt;L3,Q6&lt;L4,Q7&gt;L11,Q7&lt;L12),(J4*((L4-Q6)/M4)+J5+J6+J7+J8+J9+J10+J11+J12*(100%-((L12-Q7)/M12)))/J14,IF(AND(Q6&gt;L3,Q6&lt;L4,Q7&gt;L12),(J4*((L4-Q6)/M4)+J5+J6+J7+J8+J9+J10+J11+J12+J13)/J14,IF(AND(Q6&gt;L4,Q6&lt;L5,Q7&gt;L5,Q7&lt;L6),J5*((L5-Q6)/M5)/J14+J6*(100%-((L6-Q7)/M6))/J14,IF(AND(Q6&gt;L4,Q6&lt;L5,Q7&gt;L6,Q7&lt;L7),(J5*((L5-Q6)/M5)+J6+J7*(100%-((L7-Q7)/M7)))/J14,IF(AND(Q6&gt;L4,Q6&lt;L5,Q7&gt;L7,Q7&lt;L8),(J5*((L5-Q6)/M5)+J6+J7+J8*(100%-((L8-Q7)/M8)))/J14,IF(AND(Q6&gt;L4,Q6&lt;L5,Q7&gt;L8,Q7&lt;L9),(J5*((L5-Q6)/M5)+J6+J7+J8+J9*(100%-((L9-Q7)/M9)))/J14,IF(AND(Q6&gt;L4,Q6&lt;L5,Q7&gt;L9,Q7&lt;L10),(J5*((L5-Q6)/M5)+J6+J7+J8+J9+J10*(100%-((L10-Q7)/M10)))/J14,IF(AND(Q6&gt;L4,Q6&lt;L5,Q7&gt;L10,Q7&lt;L11),(J5*((L5-Q6)/M5)+J6+J7+J8+J9+J10+J11*(100%-((L11-Q7)/M11)))/J14,IF(AND(Q6&gt;L4,Q6&lt;L5,Q7&gt;L11,Q7&lt;L12),(J5*((L5-Q6)/M5)+J6+J7+J8+J9+J10+J11+J12*(100%-((L12-Q7))/M12))/J14,IF(AND(Q6&gt;L4,Q6&lt;L5,Q7&gt;L12),(J5*((L5-Q6)/M5)+J6+J7+J8+J9+J10+J11+J12+J13)/J14,IF(AND(Q6&gt;L5,Q6&lt;L6,Q7&gt;L6,Q7&lt;L7),J6*((L6-Q6)/M6)/J14+J7*(100%-((L7-Q7)/M7))/J14,IF(AND(Q6&gt;L5,Q6&lt;L6,Q7&gt;L7,Q7&lt;L8),(J6*((L6-Q6)/M6)+J7+J8*(100%-((L8-Q7)/M8)))/J14,IF(AND(Q6&gt;L5,Q6&lt;L6,Q7&gt;L8,Q7&lt;L9),(J6*((L6-Q6)/M6)+J7+J8+J9*(100%-((L9-Q7)/M9)))/J14,IF(AND(Q6&gt;L5,Q6&lt;L6,Q7&gt;L9,Q7&lt;L10),(J6*((L6-Q6)/M6)+J7+J8+J9+J10*(100%-((L10-Q7)/M10)))/J14,IF(AND(Q6&gt;L5,Q6&lt;L6,Q7&gt;L10,Q7&lt;L11),(J6*((L6-Q6)/M6)+J7+J8+J9+J10+J11*(100%-((L11-Q7)/M11)))/J14,IF(AND(Q6&gt;L5,Q6&lt;L6,Q7&gt;L11,Q7&lt;L12),(J6*((L6-Q6)/M6)+J7+J8+J9+J10+J11+J12*(100%-((L12-Q7)/M12)))/J14,IF(AND(Q6&gt;L5,Q6&lt;L6,Q7&gt;L12),(J6*((L6-Q6)/M6)+J7+J8+J9+J10+J11+J12+J13)/J14,IF(AND(Q6&gt;L6,Q6&lt;L7,Q7&gt;L7,Q7&lt;L8),J7*((L7-Q6)/M7)/J14+J8*(100%-((L8-Q7)/M8))/J14,IF(AND(Q6&gt;L6,Q6&lt;L7,Q7&gt;L8,Q7&lt;L9),(J7*((L7-Q6)/M7)+J8+J9*(100%-((L9-Q7)/M9)))/J14,IF(AND(Q6&gt;L6,Q6&lt;L7,Q7&gt;L9,Q7&lt;L10),(J7*((L7-Q6)/M7)+J8+J9+J10*(100%-((L10-Q7)/M10)))/J14,IF(AND(Q6&gt;L6,Q6&lt;L7,Q7&gt;L10,Q7&lt;L11),(J7*((L7-Q6)/M7)+J8+J9+J10+J11*(100%-((L11-Q7)/M11)))/J14,IF(AND(Q6&gt;L6,Q6&lt;L7,Q7&gt;L11,Q7&lt;L12),(J7*((L7-Q6)/M7)+J8+J9+J10+J11+J12*(100%-((L12-Q7)/M12)))/J14,IF(AND(Q6&gt;L6,Q6&lt;L7,Q7&gt;L12),(J7*((L7-Q6)/M7)+J8+J9+J10+J11+J12+J13)/J14,IF(AND(Q6&gt;L7,Q6&lt;L8,Q7&gt;L8,Q7&lt;L9),J8*((L8-Q6)/M8)/J14+J9*(100%-((L9-Q7)/M9))/J14,IF(AND(Q6&gt;L7,Q6&lt;L8,Q7&gt;L9,Q7&lt;L10),(J8*((L8-Q6)/M8)+J9+J10*(100%-((L10-Q7)/M10)))/J14,IF(AND(Q6&gt;L7,Q6&lt;L8,Q7&gt;L10,Q7&lt;L11),(J8*((L8-Q6)/M8)+J9+J10+J11*(100%-((L11-Q7)/M11)))/J14,IF(AND(Q6&gt;L7,Q6&lt;L8,Q7&gt;L11,Q7&lt;L12),(J8*((L8-Q6)/M8)+J9+J10+J11+J12*(100%-((L12-Q7)/M12)))/J14,IF(AND(Q6&gt;L7,Q6&lt;L8,Q7&gt;L12),(J8*((L8-Q6)/M8)+J9+J10+J11+J12+J13)/J14,IF(AND(Q6&gt;L8,Q6&lt;L9,Q7&gt;L9,Q7&lt;L10),J9*((L9-Q6)/M9)/J14+J10*(100%-((L10-Q7)/M10))/J14,IF(AND(Q6&gt;L8,Q6&lt;L9,Q7&gt;L10,Q7&lt;L11),(J9*((L9-Q6)/M9)+J10+J11*(100%-((L11-Q7)/M11)))/J14,IF(AND(Q6&gt;L8,Q6&lt;L9,Q7&gt;L11,Q7&lt;L12),(J9*((L9-Q6)/M9)+J10+J11+J12*(100%-((L12-Q7)/M12)))/J14,IF(AND(Q6&gt;L8,Q6&lt;L9,Q7&gt;L12),(J9*((L9-Q6)/M9)+J10+J11+J12+J13)/J14,IF(AND(Q6&gt;L9,Q6&lt;L10,Q7&gt;L10,Q7&lt;L11),J10*((L10-Q6)/M10)/J14+J11*(100%-((L11-Q7)/M11))/J14,IF(AND(Q6&gt;L9,Q6&lt;L10,Q7&gt;L11,Q7&lt;L12),(J10*((L10-Q6)/M10)+J11+J12*(100%-((L12-Q7)/M12)))/J14,IF(AND(Q6&gt;L9,Q6&lt;L10,Q7&gt;L12),(J10*((L10-Q6)/M10)+J11+J12+J13)))/J14))))))))))))))))))))))))))))))))))))))))))))))))))</f>
        <v>9.899108734008609E-2</v>
      </c>
    </row>
    <row r="33" spans="3:5" x14ac:dyDescent="0.55000000000000004">
      <c r="C33" t="b">
        <f>IF(AND(Q4&gt;L10,Q4&lt;L11,Q5&gt;L11,Q5&lt;L12),J11*((L11-Q4)/M11)/J14+J12*(100%-((L12-Q5)/M12))/J14,IF(AND(Q4&gt;L10,Q4&lt;L11,Q5&gt;L12),((J11*((L11-Q4)/M11))+J12+J13)/J14,IF(AND(Q4&gt;L11,Q4&lt;L12,Q5&gt;L12),((J12*((L12-Q4)/M12))+J13)/J14)))</f>
        <v>0</v>
      </c>
      <c r="D33" t="b">
        <f>IF(AND(Q5&gt;L10,Q5&lt;L11,Q6&gt;L11,Q6&lt;L12),J11*((L11-Q5)/M11)/J14+J12*(100%-((L12-Q6)/M12))/J14,IF(AND(Q5&gt;L10,Q5&lt;L11,Q6&gt;L12),((J11*((L11-Q5)/M11))+J12+J13)/J14,IF(AND(Q5&gt;L11,Q5&lt;L12,Q6&gt;L12),((J12*((L12-Q5)/M12))+J13)/J14)))</f>
        <v>0</v>
      </c>
      <c r="E33" t="b">
        <f>IF(AND(Q6&gt;L10,Q6&lt;L11,Q7&gt;L11,Q7&lt;L12),J11*((L11-Q6)/M11)/J14+J12*(100%-((L12-Q7)/M12))/J14,IF(AND(Q6&gt;L10,Q6&lt;L11,Q7&gt;L12),((J11*((L11-Q6)/M11))+J12+J13)/J14,IF(AND(Q6&gt;L11,Q6&lt;L12,Q7&gt;L12),((J12*((L12-Q6)/M12))+J13)/J14)))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0A82-4F24-4596-A8D4-F54329E28BFA}">
  <dimension ref="C3:K17"/>
  <sheetViews>
    <sheetView workbookViewId="0">
      <selection activeCell="I11" sqref="I11"/>
    </sheetView>
  </sheetViews>
  <sheetFormatPr defaultRowHeight="14.4" x14ac:dyDescent="0.55000000000000004"/>
  <cols>
    <col min="4" max="4" width="14.20703125" bestFit="1" customWidth="1"/>
    <col min="7" max="7" width="19.68359375" bestFit="1" customWidth="1"/>
    <col min="8" max="8" width="18.68359375" bestFit="1" customWidth="1"/>
    <col min="11" max="11" width="17.05078125" bestFit="1" customWidth="1"/>
  </cols>
  <sheetData>
    <row r="3" spans="3:11" ht="14.7" thickBot="1" x14ac:dyDescent="0.6"/>
    <row r="4" spans="3:11" ht="43.2" x14ac:dyDescent="0.55000000000000004">
      <c r="C4" s="9" t="s">
        <v>13</v>
      </c>
      <c r="D4" s="10" t="s">
        <v>12</v>
      </c>
    </row>
    <row r="5" spans="3:11" x14ac:dyDescent="0.55000000000000004">
      <c r="C5" s="5">
        <v>30000</v>
      </c>
      <c r="D5" s="6">
        <f>assumptions!$C$11*C5</f>
        <v>115815.49100862819</v>
      </c>
    </row>
    <row r="6" spans="3:11" x14ac:dyDescent="0.55000000000000004">
      <c r="C6" s="5">
        <v>40000</v>
      </c>
      <c r="D6" s="6">
        <f>assumptions!$C$11*C6</f>
        <v>154420.65467817092</v>
      </c>
    </row>
    <row r="7" spans="3:11" x14ac:dyDescent="0.55000000000000004">
      <c r="C7" s="5">
        <v>50000</v>
      </c>
      <c r="D7" s="6">
        <f>assumptions!$C$11*C7</f>
        <v>193025.81834771365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</row>
    <row r="8" spans="3:11" x14ac:dyDescent="0.55000000000000004">
      <c r="C8" s="5">
        <v>60000</v>
      </c>
      <c r="D8" s="6">
        <f>assumptions!$C$11*C8</f>
        <v>231630.98201725638</v>
      </c>
      <c r="G8" s="2" t="s">
        <v>21</v>
      </c>
      <c r="H8" s="2" t="str">
        <f>computation!D20</f>
        <v>$0 - 25100</v>
      </c>
      <c r="I8" s="3">
        <f>computation!E20</f>
        <v>0.37756757911945843</v>
      </c>
      <c r="J8" s="4">
        <f>computation!F20</f>
        <v>0.51835962160453186</v>
      </c>
      <c r="K8" s="4">
        <f>J8-I8</f>
        <v>0.14079204248507343</v>
      </c>
    </row>
    <row r="9" spans="3:11" x14ac:dyDescent="0.55000000000000004">
      <c r="C9" s="5">
        <v>70000</v>
      </c>
      <c r="D9" s="6">
        <f>assumptions!$C$11*C9</f>
        <v>270236.14568679908</v>
      </c>
      <c r="G9" s="2" t="s">
        <v>22</v>
      </c>
      <c r="H9" s="2" t="str">
        <f>computation!D21</f>
        <v>25100 - 28250</v>
      </c>
      <c r="I9" s="3">
        <f>computation!E21</f>
        <v>5.7015105899304662E-2</v>
      </c>
      <c r="J9" s="4">
        <f>computation!F21</f>
        <v>4.9973916989785504E-2</v>
      </c>
      <c r="K9" s="4">
        <f>J9-I9</f>
        <v>-7.0411889095191582E-3</v>
      </c>
    </row>
    <row r="10" spans="3:11" x14ac:dyDescent="0.55000000000000004">
      <c r="C10" s="5">
        <v>80000</v>
      </c>
      <c r="D10" s="6">
        <f>assumptions!$C$11*C10</f>
        <v>308841.30935634184</v>
      </c>
      <c r="G10" s="2" t="s">
        <v>23</v>
      </c>
      <c r="H10" s="2" t="str">
        <f>computation!D22</f>
        <v>28250 - 45200</v>
      </c>
      <c r="I10" s="3">
        <f>computation!E22</f>
        <v>0.23500059545489854</v>
      </c>
      <c r="J10" s="4">
        <f>computation!F22</f>
        <v>0.20590887834632465</v>
      </c>
      <c r="K10" s="4">
        <f>J10-I10</f>
        <v>-2.9091717108573889E-2</v>
      </c>
    </row>
    <row r="11" spans="3:11" x14ac:dyDescent="0.55000000000000004">
      <c r="C11" s="5">
        <v>90000</v>
      </c>
      <c r="D11" s="6">
        <f>assumptions!$C$11*C11</f>
        <v>347446.47302588454</v>
      </c>
      <c r="G11" s="2" t="s">
        <v>24</v>
      </c>
      <c r="H11" s="2" t="str">
        <f>computation!D23</f>
        <v>45200 - 61755</v>
      </c>
      <c r="I11" s="3">
        <f>computation!E23</f>
        <v>0.12807125475685935</v>
      </c>
      <c r="J11" s="4">
        <f>computation!F23</f>
        <v>9.899108734008609E-2</v>
      </c>
      <c r="K11" s="4">
        <f>J11-I11</f>
        <v>-2.9080167416773259E-2</v>
      </c>
    </row>
    <row r="12" spans="3:11" x14ac:dyDescent="0.55000000000000004">
      <c r="C12" s="5">
        <v>100000</v>
      </c>
      <c r="D12" s="6">
        <f>assumptions!$C$11*C12</f>
        <v>386051.6366954273</v>
      </c>
    </row>
    <row r="13" spans="3:11" x14ac:dyDescent="0.55000000000000004">
      <c r="C13" s="5">
        <v>110000</v>
      </c>
      <c r="D13" s="6">
        <f>assumptions!$C$11*C13</f>
        <v>424656.80036497</v>
      </c>
    </row>
    <row r="14" spans="3:11" x14ac:dyDescent="0.55000000000000004">
      <c r="C14" s="5">
        <v>120000</v>
      </c>
      <c r="D14" s="6">
        <f>assumptions!$C$11*C14</f>
        <v>463261.96403451276</v>
      </c>
    </row>
    <row r="15" spans="3:11" x14ac:dyDescent="0.55000000000000004">
      <c r="C15" s="5">
        <v>130000</v>
      </c>
      <c r="D15" s="6">
        <f>assumptions!$C$11*C15</f>
        <v>501867.12770405546</v>
      </c>
    </row>
    <row r="16" spans="3:11" x14ac:dyDescent="0.55000000000000004">
      <c r="C16" s="5">
        <v>140000</v>
      </c>
      <c r="D16" s="6">
        <f>assumptions!$C$11*C16</f>
        <v>540472.29137359816</v>
      </c>
    </row>
    <row r="17" spans="3:4" ht="14.7" thickBot="1" x14ac:dyDescent="0.6">
      <c r="C17" s="7">
        <v>150000</v>
      </c>
      <c r="D17" s="8">
        <f>assumptions!$C$11*C17</f>
        <v>579077.45504314092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computation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Clare</cp:lastModifiedBy>
  <dcterms:created xsi:type="dcterms:W3CDTF">2021-05-13T14:42:32Z</dcterms:created>
  <dcterms:modified xsi:type="dcterms:W3CDTF">2021-06-10T13:51:45Z</dcterms:modified>
</cp:coreProperties>
</file>