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8FCF4FF7AE5ECB/Documents/"/>
    </mc:Choice>
  </mc:AlternateContent>
  <xr:revisionPtr revIDLastSave="0" documentId="14_{C3443439-DA51-472F-BD39-E83CCC93622B}" xr6:coauthVersionLast="47" xr6:coauthVersionMax="47" xr10:uidLastSave="{00000000-0000-0000-0000-000000000000}"/>
  <bookViews>
    <workbookView xWindow="-110" yWindow="-110" windowWidth="23260" windowHeight="14860" firstSheet="2" activeTab="3" xr2:uid="{2F6085EA-5AC2-4DF4-942F-C6594C3AF283}"/>
  </bookViews>
  <sheets>
    <sheet name="Exhibits 1-3" sheetId="1" r:id="rId1"/>
    <sheet name="Exhibits 4-7" sheetId="2" r:id="rId2"/>
    <sheet name="Exhibit 8 Data" sheetId="3" r:id="rId3"/>
    <sheet name="Sensitivity Scenario Analysis" sheetId="4" r:id="rId4"/>
    <sheet name="Ratio Analysis" sheetId="5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4" l="1"/>
  <c r="E24" i="4"/>
  <c r="C24" i="4"/>
  <c r="O6" i="3"/>
  <c r="O5" i="3"/>
  <c r="P5" i="3" s="1"/>
  <c r="K40" i="3"/>
  <c r="H40" i="3"/>
  <c r="E40" i="3"/>
  <c r="P39" i="3"/>
  <c r="Q39" i="3" s="1"/>
  <c r="R39" i="3" s="1"/>
  <c r="L38" i="3"/>
  <c r="I38" i="3"/>
  <c r="F38" i="3"/>
  <c r="P36" i="3"/>
  <c r="L35" i="3"/>
  <c r="I35" i="3"/>
  <c r="F35" i="3"/>
  <c r="L34" i="3"/>
  <c r="I34" i="3"/>
  <c r="F34" i="3"/>
  <c r="L33" i="3"/>
  <c r="I33" i="3"/>
  <c r="F33" i="3"/>
  <c r="L32" i="3"/>
  <c r="I32" i="3"/>
  <c r="F32" i="3"/>
  <c r="L31" i="3"/>
  <c r="I31" i="3"/>
  <c r="F31" i="3"/>
  <c r="K29" i="3"/>
  <c r="L29" i="3" s="1"/>
  <c r="H29" i="3"/>
  <c r="I29" i="3" s="1"/>
  <c r="E29" i="3"/>
  <c r="F29" i="3" s="1"/>
  <c r="L28" i="3"/>
  <c r="I28" i="3"/>
  <c r="F28" i="3"/>
  <c r="L27" i="3"/>
  <c r="I27" i="3"/>
  <c r="F27" i="3"/>
  <c r="L26" i="3"/>
  <c r="I26" i="3"/>
  <c r="F26" i="3"/>
  <c r="L25" i="3"/>
  <c r="I25" i="3"/>
  <c r="F25" i="3"/>
  <c r="L24" i="3"/>
  <c r="I24" i="3"/>
  <c r="F24" i="3"/>
  <c r="L22" i="3"/>
  <c r="I22" i="3"/>
  <c r="F22" i="3"/>
  <c r="R15" i="3"/>
  <c r="R14" i="3"/>
  <c r="Q14" i="3"/>
  <c r="Q15" i="3" s="1"/>
  <c r="P14" i="3"/>
  <c r="P15" i="3" s="1"/>
  <c r="H13" i="3"/>
  <c r="H15" i="3" s="1"/>
  <c r="H18" i="3" s="1"/>
  <c r="L11" i="3"/>
  <c r="I11" i="3"/>
  <c r="F11" i="3"/>
  <c r="L10" i="3"/>
  <c r="I10" i="3"/>
  <c r="F10" i="3"/>
  <c r="L9" i="3"/>
  <c r="I9" i="3"/>
  <c r="F9" i="3"/>
  <c r="K7" i="3"/>
  <c r="K13" i="3" s="1"/>
  <c r="K15" i="3" s="1"/>
  <c r="K18" i="3" s="1"/>
  <c r="H7" i="3"/>
  <c r="E7" i="3"/>
  <c r="E13" i="3" s="1"/>
  <c r="E15" i="3" s="1"/>
  <c r="E18" i="3" s="1"/>
  <c r="L6" i="3"/>
  <c r="I6" i="3"/>
  <c r="F6" i="3"/>
  <c r="M32" i="2"/>
  <c r="M25" i="2"/>
  <c r="M20" i="2"/>
  <c r="M18" i="2"/>
  <c r="J32" i="2"/>
  <c r="J25" i="2"/>
  <c r="J20" i="2"/>
  <c r="J18" i="2"/>
  <c r="C32" i="2"/>
  <c r="C25" i="2"/>
  <c r="C20" i="2"/>
  <c r="C18" i="2"/>
  <c r="P38" i="3" l="1"/>
  <c r="P32" i="3"/>
  <c r="Q5" i="3"/>
  <c r="Q6" i="3" s="1"/>
  <c r="P33" i="3"/>
  <c r="P24" i="3"/>
  <c r="P31" i="3"/>
  <c r="P28" i="3"/>
  <c r="P9" i="3"/>
  <c r="P35" i="3"/>
  <c r="P22" i="3"/>
  <c r="P26" i="3"/>
  <c r="P27" i="3"/>
  <c r="P34" i="3"/>
  <c r="P25" i="3"/>
  <c r="P6" i="3"/>
  <c r="P7" i="3" s="1"/>
  <c r="M19" i="2"/>
  <c r="M35" i="2"/>
  <c r="M31" i="2"/>
  <c r="J19" i="2"/>
  <c r="J35" i="2"/>
  <c r="J31" i="2"/>
  <c r="C31" i="2"/>
  <c r="C19" i="2"/>
  <c r="C35" i="2"/>
  <c r="P43" i="3" l="1"/>
  <c r="Q28" i="3"/>
  <c r="Q24" i="3"/>
  <c r="Q27" i="3"/>
  <c r="Q35" i="3"/>
  <c r="Q22" i="3"/>
  <c r="Q9" i="3"/>
  <c r="Q26" i="3"/>
  <c r="Q33" i="3"/>
  <c r="Q31" i="3"/>
  <c r="Q34" i="3"/>
  <c r="Q25" i="3"/>
  <c r="Q32" i="3"/>
  <c r="R5" i="3"/>
  <c r="Q7" i="3"/>
  <c r="Q38" i="3"/>
  <c r="P42" i="3"/>
  <c r="M40" i="2"/>
  <c r="M33" i="2"/>
  <c r="J33" i="2"/>
  <c r="J40" i="2"/>
  <c r="C40" i="2"/>
  <c r="C33" i="2"/>
  <c r="P44" i="3" l="1"/>
  <c r="P37" i="3" s="1"/>
  <c r="C8" i="4" s="1"/>
  <c r="Q29" i="3"/>
  <c r="Q42" i="3"/>
  <c r="R35" i="3"/>
  <c r="R22" i="3"/>
  <c r="R9" i="3"/>
  <c r="R31" i="3"/>
  <c r="R34" i="3"/>
  <c r="R26" i="3"/>
  <c r="R33" i="3"/>
  <c r="R24" i="3"/>
  <c r="R27" i="3"/>
  <c r="R25" i="3"/>
  <c r="R38" i="3"/>
  <c r="R32" i="3"/>
  <c r="R28" i="3"/>
  <c r="R6" i="3"/>
  <c r="R7" i="3" s="1"/>
  <c r="P23" i="3" l="1"/>
  <c r="P29" i="3" s="1"/>
  <c r="P12" i="3"/>
  <c r="Q36" i="3"/>
  <c r="P40" i="3"/>
  <c r="R29" i="3"/>
  <c r="R42" i="3"/>
  <c r="Q43" i="3" l="1"/>
  <c r="Q44" i="3" s="1"/>
  <c r="Q37" i="3" s="1"/>
  <c r="R36" i="3" l="1"/>
  <c r="R43" i="3" s="1"/>
  <c r="R44" i="3" s="1"/>
  <c r="R37" i="3" s="1"/>
  <c r="E8" i="4"/>
  <c r="Q40" i="3"/>
  <c r="Q12" i="3"/>
  <c r="R12" i="3" l="1"/>
  <c r="G8" i="4"/>
  <c r="R40" i="3"/>
  <c r="C31" i="1" l="1"/>
  <c r="C25" i="1"/>
  <c r="C18" i="1"/>
  <c r="C19" i="1" l="1"/>
  <c r="C20" i="1"/>
  <c r="C34" i="1"/>
  <c r="C30" i="1"/>
  <c r="C32" i="1" s="1"/>
  <c r="C21" i="1"/>
  <c r="C22" i="1"/>
  <c r="C23" i="1"/>
  <c r="C24" i="1"/>
  <c r="C26" i="1"/>
  <c r="C35" i="1"/>
  <c r="C36" i="1"/>
  <c r="C37" i="1"/>
  <c r="F12" i="2"/>
  <c r="G12" i="2"/>
  <c r="C21" i="2"/>
  <c r="J21" i="2"/>
  <c r="M21" i="2"/>
  <c r="C22" i="2"/>
  <c r="J22" i="2"/>
  <c r="M22" i="2"/>
  <c r="C23" i="2"/>
  <c r="J23" i="2"/>
  <c r="M23" i="2"/>
  <c r="C24" i="2"/>
  <c r="J24" i="2"/>
  <c r="M24" i="2"/>
  <c r="C26" i="2"/>
  <c r="J26" i="2"/>
  <c r="M26" i="2"/>
  <c r="C30" i="2"/>
  <c r="J30" i="2"/>
  <c r="M30" i="2"/>
  <c r="C36" i="2"/>
  <c r="J36" i="2"/>
  <c r="M36" i="2"/>
  <c r="C37" i="2"/>
  <c r="J37" i="2"/>
  <c r="M37" i="2"/>
  <c r="C38" i="2"/>
  <c r="J38" i="2"/>
  <c r="M38" i="2"/>
  <c r="C41" i="2"/>
  <c r="J41" i="2"/>
  <c r="M41" i="2"/>
  <c r="C42" i="2"/>
  <c r="J42" i="2"/>
  <c r="M4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Clarke</author>
  </authors>
  <commentList>
    <comment ref="E11" authorId="0" shapeId="0" xr:uid="{B3962610-A465-4FBF-A8BA-B6084EE94315}">
      <text>
        <r>
          <rPr>
            <b/>
            <sz val="9"/>
            <color indexed="81"/>
            <rFont val="Tahoma"/>
            <family val="2"/>
          </rPr>
          <t>Julie Clarke:</t>
        </r>
        <r>
          <rPr>
            <sz val="9"/>
            <color indexed="81"/>
            <rFont val="Tahoma"/>
            <family val="2"/>
          </rPr>
          <t xml:space="preserve">
This is to show COGS as a percentage of sales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Tandon, Arun</author>
  </authors>
  <commentList>
    <comment ref="O12" authorId="0" shapeId="0" xr:uid="{DD337A1E-CC5A-4E6F-A8E9-4B2436F33F58}">
      <text>
        <r>
          <rPr>
            <b/>
            <sz val="10"/>
            <color rgb="FF000000"/>
            <rFont val="Tahoma"/>
            <family val="2"/>
          </rPr>
          <t xml:space="preserve">This is the interest rate. 
</t>
        </r>
        <r>
          <rPr>
            <b/>
            <sz val="10"/>
            <color rgb="FF000000"/>
            <rFont val="Tahoma"/>
            <family val="2"/>
          </rPr>
          <t>Net Interest Expense = (Int Rate * (Long term Liabilities + EFN)) - (Int rate * Excess Cash)</t>
        </r>
      </text>
    </comment>
  </commentList>
</comments>
</file>

<file path=xl/sharedStrings.xml><?xml version="1.0" encoding="utf-8"?>
<sst xmlns="http://schemas.openxmlformats.org/spreadsheetml/2006/main" count="235" uniqueCount="110">
  <si>
    <t>Input Data</t>
  </si>
  <si>
    <t>SALES</t>
  </si>
  <si>
    <t>COGS/SALES</t>
  </si>
  <si>
    <t>OPERATING EXPENSES/SALES</t>
  </si>
  <si>
    <t>INTEREST RATE</t>
  </si>
  <si>
    <t>TAX RATE</t>
  </si>
  <si>
    <t>DIVIDENDS (Thousand pounds)</t>
  </si>
  <si>
    <t>CURR. ASSETS/SALES</t>
  </si>
  <si>
    <t>CURR. LIABS./SALES</t>
  </si>
  <si>
    <t>FIXED ASSETS</t>
  </si>
  <si>
    <t>STARTING EQUITY</t>
  </si>
  <si>
    <t>INCOME STATEMENT</t>
  </si>
  <si>
    <t>COGS</t>
  </si>
  <si>
    <t>OPERATING EXPENSES</t>
  </si>
  <si>
    <t>INTEREST EXPENSE (INCOME)</t>
  </si>
  <si>
    <t>PROFIT BEFORE TAX</t>
  </si>
  <si>
    <t>TAX</t>
  </si>
  <si>
    <t>PROFIT AFTER TAX</t>
  </si>
  <si>
    <t>DIVIDENDS</t>
  </si>
  <si>
    <t>EARNINGS RETAINED</t>
  </si>
  <si>
    <t>BALANCE SHEET</t>
  </si>
  <si>
    <t>CURRENT ASSETS</t>
  </si>
  <si>
    <t>TOTAL ASSETS</t>
  </si>
  <si>
    <t>CURRENT LIABILITIES</t>
  </si>
  <si>
    <t>DEBT</t>
  </si>
  <si>
    <t>EQUITY</t>
  </si>
  <si>
    <t>TOTAL LIAB. &amp; NET WORTH</t>
  </si>
  <si>
    <t>Sensitivity Analysis</t>
  </si>
  <si>
    <t>Debt and Excess Cash</t>
  </si>
  <si>
    <t>By COGS/SALES</t>
  </si>
  <si>
    <t>Ex. CASH</t>
  </si>
  <si>
    <t xml:space="preserve"> </t>
  </si>
  <si>
    <t>EXCESS CASH</t>
  </si>
  <si>
    <t>TRIAL ASSETS</t>
  </si>
  <si>
    <t>TRIAL LIABILITIES AND EQUITY</t>
  </si>
  <si>
    <t>PLUG: DEBT (EXCESS CASH)</t>
  </si>
  <si>
    <t>Iteration 1</t>
  </si>
  <si>
    <t>Iteration 2</t>
  </si>
  <si>
    <t>Fiscal Year Ended February 28</t>
  </si>
  <si>
    <t>Assumptions</t>
  </si>
  <si>
    <t>Forecast</t>
  </si>
  <si>
    <t>Income Statement</t>
  </si>
  <si>
    <t>2002–2004</t>
  </si>
  <si>
    <t>Turnover</t>
  </si>
  <si>
    <t>Growth</t>
  </si>
  <si>
    <t>Cost of sales</t>
  </si>
  <si>
    <t>% sales</t>
  </si>
  <si>
    <t>Gross profit</t>
  </si>
  <si>
    <t>Operating expenses</t>
  </si>
  <si>
    <t>–excluding exceptional costs</t>
  </si>
  <si>
    <t>–exceptional costs</t>
  </si>
  <si>
    <t>Restructuring costs</t>
  </si>
  <si>
    <t>Net interest expense</t>
  </si>
  <si>
    <t>Debt, EFN and Excess Cash</t>
  </si>
  <si>
    <t>Profit before tax (PBT)</t>
  </si>
  <si>
    <t>Tax expense</t>
  </si>
  <si>
    <t>% of PBT</t>
  </si>
  <si>
    <t>Profit/(loss) after tax</t>
  </si>
  <si>
    <t>Ordinary dividends</t>
  </si>
  <si>
    <t>Constant</t>
  </si>
  <si>
    <t>Profit/(loss) retained</t>
  </si>
  <si>
    <t>Balance Sheet</t>
  </si>
  <si>
    <t>Cash</t>
  </si>
  <si>
    <t>Excess Cash (Plug)</t>
  </si>
  <si>
    <t>Plug</t>
  </si>
  <si>
    <t>Accounts receivable</t>
  </si>
  <si>
    <t>Inventories</t>
  </si>
  <si>
    <t>Other current assets</t>
  </si>
  <si>
    <t>Net fixed assets</t>
  </si>
  <si>
    <t>Other assets</t>
  </si>
  <si>
    <t xml:space="preserve">  Total assets</t>
  </si>
  <si>
    <t>Accounts payable</t>
  </si>
  <si>
    <t>Taxes payable</t>
  </si>
  <si>
    <t>Accruals</t>
  </si>
  <si>
    <t>Overdrafts</t>
  </si>
  <si>
    <t>Other current liabilities</t>
  </si>
  <si>
    <t>Long-term liabilities</t>
  </si>
  <si>
    <t>Fixed</t>
  </si>
  <si>
    <t>EFN (Plug)</t>
  </si>
  <si>
    <t>Other liabilities</t>
  </si>
  <si>
    <t>Shareholders' equity</t>
  </si>
  <si>
    <t xml:space="preserve">  Total liabs. &amp; equity</t>
  </si>
  <si>
    <t>Trial assets</t>
  </si>
  <si>
    <t>Trial liabs. &amp; equity</t>
  </si>
  <si>
    <t>Trial plug</t>
  </si>
  <si>
    <t>Growth in sales</t>
  </si>
  <si>
    <t>COGS % sales</t>
  </si>
  <si>
    <t>This table is a sensitivity analaysis were we are changing the expected growth in sales and examing the impact on EFN and Excess Cash</t>
  </si>
  <si>
    <t>The figures below are to be read in terms of the Pound currency in the Millions form</t>
  </si>
  <si>
    <t>Growth in Sales</t>
  </si>
  <si>
    <t>EFN</t>
  </si>
  <si>
    <t>Excesss Cash</t>
  </si>
  <si>
    <t>COGS % Sales</t>
  </si>
  <si>
    <t>Column1</t>
  </si>
  <si>
    <t>Column2</t>
  </si>
  <si>
    <t>Column3</t>
  </si>
  <si>
    <t>Column4</t>
  </si>
  <si>
    <t>Ratio Type</t>
  </si>
  <si>
    <t>Current Ratio</t>
  </si>
  <si>
    <t>Quick Ratio</t>
  </si>
  <si>
    <t>Cash Ratio</t>
  </si>
  <si>
    <t>Total Debt Ratio</t>
  </si>
  <si>
    <t>Debt-equity Ratio</t>
  </si>
  <si>
    <t>Equity Multiplier</t>
  </si>
  <si>
    <t>Inventory Turnover</t>
  </si>
  <si>
    <t>Receivables Turnover</t>
  </si>
  <si>
    <t>Total Asset Turnover</t>
  </si>
  <si>
    <t>Profit Margin</t>
  </si>
  <si>
    <t>Return on Assets (ROA)</t>
  </si>
  <si>
    <t>Return on Equity (ROE)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</si>
</sst>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%"/>
    <numFmt numFmtId="167" formatCode="_(* #,##0.0_);_(* \(#,##0.0\);_(* &quot;-&quot;??_);_(@_)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Geneva"/>
      <family val="2"/>
    </font>
    <font>
      <b/>
      <u/>
      <sz val="10"/>
      <color rgb="FF000080"/>
      <name val="Times New Roman"/>
      <family val="1"/>
    </font>
    <font>
      <b/>
      <sz val="10"/>
      <color rgb="FF00008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80"/>
      <name val="Times New Roman"/>
      <family val="1"/>
    </font>
    <font>
      <sz val="12"/>
      <color rgb="FF000080"/>
      <name val="Times New Roman"/>
      <family val="1"/>
    </font>
    <font>
      <u/>
      <sz val="12"/>
      <name val="Times New Roman"/>
      <family val="1"/>
    </font>
    <font>
      <b/>
      <sz val="12"/>
      <color rgb="FF000080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medium">
        <color indexed="64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000000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1">
    <xf numFmtId="0" fontId="0" fillId="0" borderId="0" xfId="0"/>
    <xf numFmtId="0" fontId="3" fillId="0" borderId="1" xfId="2" applyFont="1" applyBorder="1"/>
    <xf numFmtId="0" fontId="4" fillId="0" borderId="2" xfId="2" applyFont="1" applyBorder="1"/>
    <xf numFmtId="0" fontId="4" fillId="0" borderId="3" xfId="2" applyFont="1" applyBorder="1"/>
    <xf numFmtId="0" fontId="4" fillId="0" borderId="4" xfId="2" applyFont="1" applyBorder="1"/>
    <xf numFmtId="164" fontId="4" fillId="0" borderId="4" xfId="3" applyNumberFormat="1" applyFont="1" applyFill="1" applyBorder="1"/>
    <xf numFmtId="43" fontId="4" fillId="0" borderId="4" xfId="3" applyFont="1" applyFill="1" applyBorder="1"/>
    <xf numFmtId="0" fontId="4" fillId="0" borderId="5" xfId="2" applyFont="1" applyBorder="1"/>
    <xf numFmtId="164" fontId="4" fillId="0" borderId="6" xfId="3" applyNumberFormat="1" applyFont="1" applyFill="1" applyBorder="1"/>
    <xf numFmtId="0" fontId="5" fillId="0" borderId="0" xfId="2" applyFont="1"/>
    <xf numFmtId="0" fontId="6" fillId="0" borderId="1" xfId="2" applyFont="1" applyBorder="1"/>
    <xf numFmtId="0" fontId="6" fillId="0" borderId="2" xfId="2" applyFont="1" applyBorder="1"/>
    <xf numFmtId="0" fontId="7" fillId="0" borderId="3" xfId="2" applyFont="1" applyBorder="1"/>
    <xf numFmtId="0" fontId="7" fillId="0" borderId="4" xfId="2" applyFont="1" applyBorder="1"/>
    <xf numFmtId="164" fontId="7" fillId="0" borderId="4" xfId="3" applyNumberFormat="1" applyFont="1" applyFill="1" applyBorder="1"/>
    <xf numFmtId="164" fontId="7" fillId="0" borderId="7" xfId="3" applyNumberFormat="1" applyFont="1" applyFill="1" applyBorder="1"/>
    <xf numFmtId="164" fontId="7" fillId="0" borderId="8" xfId="3" applyNumberFormat="1" applyFont="1" applyFill="1" applyBorder="1"/>
    <xf numFmtId="0" fontId="7" fillId="0" borderId="5" xfId="2" applyFont="1" applyBorder="1"/>
    <xf numFmtId="164" fontId="7" fillId="0" borderId="6" xfId="3" applyNumberFormat="1" applyFont="1" applyFill="1" applyBorder="1"/>
    <xf numFmtId="1" fontId="5" fillId="0" borderId="0" xfId="2" applyNumberFormat="1" applyFont="1"/>
    <xf numFmtId="1" fontId="6" fillId="0" borderId="2" xfId="2" applyNumberFormat="1" applyFont="1" applyBorder="1"/>
    <xf numFmtId="1" fontId="7" fillId="0" borderId="4" xfId="2" applyNumberFormat="1" applyFont="1" applyBorder="1"/>
    <xf numFmtId="164" fontId="7" fillId="0" borderId="0" xfId="3" applyNumberFormat="1" applyFont="1" applyFill="1" applyBorder="1"/>
    <xf numFmtId="0" fontId="7" fillId="0" borderId="9" xfId="2" applyFont="1" applyBorder="1"/>
    <xf numFmtId="0" fontId="7" fillId="0" borderId="2" xfId="2" applyFont="1" applyBorder="1"/>
    <xf numFmtId="0" fontId="7" fillId="0" borderId="0" xfId="2" applyFont="1"/>
    <xf numFmtId="1" fontId="7" fillId="0" borderId="3" xfId="2" applyNumberFormat="1" applyFont="1" applyBorder="1"/>
    <xf numFmtId="0" fontId="7" fillId="0" borderId="3" xfId="2" applyFont="1" applyBorder="1" applyAlignment="1">
      <alignment horizontal="right"/>
    </xf>
    <xf numFmtId="0" fontId="7" fillId="0" borderId="0" xfId="2" applyFont="1" applyAlignment="1">
      <alignment horizontal="right"/>
    </xf>
    <xf numFmtId="0" fontId="7" fillId="0" borderId="4" xfId="2" applyFont="1" applyBorder="1" applyAlignment="1">
      <alignment horizontal="right"/>
    </xf>
    <xf numFmtId="43" fontId="7" fillId="0" borderId="3" xfId="3" applyFont="1" applyFill="1" applyBorder="1"/>
    <xf numFmtId="37" fontId="7" fillId="0" borderId="0" xfId="3" quotePrefix="1" applyNumberFormat="1" applyFont="1" applyFill="1" applyBorder="1" applyAlignment="1">
      <alignment horizontal="right"/>
    </xf>
    <xf numFmtId="37" fontId="7" fillId="0" borderId="4" xfId="3" quotePrefix="1" applyNumberFormat="1" applyFont="1" applyFill="1" applyBorder="1" applyAlignment="1">
      <alignment horizontal="right"/>
    </xf>
    <xf numFmtId="37" fontId="7" fillId="0" borderId="0" xfId="3" applyNumberFormat="1" applyFont="1" applyFill="1" applyBorder="1"/>
    <xf numFmtId="37" fontId="7" fillId="0" borderId="4" xfId="3" applyNumberFormat="1" applyFont="1" applyFill="1" applyBorder="1"/>
    <xf numFmtId="37" fontId="7" fillId="0" borderId="3" xfId="3" applyNumberFormat="1" applyFont="1" applyFill="1" applyBorder="1"/>
    <xf numFmtId="43" fontId="7" fillId="0" borderId="5" xfId="3" applyFont="1" applyFill="1" applyBorder="1"/>
    <xf numFmtId="37" fontId="7" fillId="0" borderId="10" xfId="3" applyNumberFormat="1" applyFont="1" applyFill="1" applyBorder="1"/>
    <xf numFmtId="37" fontId="7" fillId="0" borderId="6" xfId="3" applyNumberFormat="1" applyFont="1" applyFill="1" applyBorder="1"/>
    <xf numFmtId="37" fontId="7" fillId="0" borderId="7" xfId="3" applyNumberFormat="1" applyFont="1" applyFill="1" applyBorder="1"/>
    <xf numFmtId="37" fontId="7" fillId="0" borderId="8" xfId="3" applyNumberFormat="1" applyFont="1" applyFill="1" applyBorder="1"/>
    <xf numFmtId="37" fontId="7" fillId="0" borderId="5" xfId="3" applyNumberFormat="1" applyFont="1" applyFill="1" applyBorder="1"/>
    <xf numFmtId="37" fontId="6" fillId="0" borderId="1" xfId="3" applyNumberFormat="1" applyFont="1" applyFill="1" applyBorder="1"/>
    <xf numFmtId="37" fontId="7" fillId="0" borderId="1" xfId="3" applyNumberFormat="1" applyFont="1" applyFill="1" applyBorder="1"/>
    <xf numFmtId="37" fontId="7" fillId="0" borderId="2" xfId="3" applyNumberFormat="1" applyFont="1" applyFill="1" applyBorder="1"/>
    <xf numFmtId="0" fontId="10" fillId="0" borderId="1" xfId="0" applyFont="1" applyBorder="1"/>
    <xf numFmtId="0" fontId="10" fillId="0" borderId="9" xfId="0" applyFont="1" applyBorder="1"/>
    <xf numFmtId="0" fontId="11" fillId="0" borderId="9" xfId="0" applyFont="1" applyBorder="1" applyAlignment="1">
      <alignment horizontal="centerContinuous"/>
    </xf>
    <xf numFmtId="0" fontId="10" fillId="0" borderId="2" xfId="0" applyFont="1" applyBorder="1" applyAlignment="1">
      <alignment horizontal="centerContinuous"/>
    </xf>
    <xf numFmtId="0" fontId="12" fillId="0" borderId="11" xfId="0" applyFont="1" applyBorder="1" applyAlignment="1">
      <alignment horizontal="centerContinuous"/>
    </xf>
    <xf numFmtId="0" fontId="13" fillId="0" borderId="12" xfId="0" applyFont="1" applyBorder="1" applyAlignment="1">
      <alignment horizontal="centerContinuous"/>
    </xf>
    <xf numFmtId="0" fontId="11" fillId="0" borderId="9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0" xfId="0" applyFont="1"/>
    <xf numFmtId="0" fontId="10" fillId="0" borderId="4" xfId="0" applyFont="1" applyBorder="1"/>
    <xf numFmtId="0" fontId="13" fillId="0" borderId="13" xfId="0" applyFont="1" applyBorder="1"/>
    <xf numFmtId="0" fontId="13" fillId="0" borderId="14" xfId="0" applyFont="1" applyBorder="1"/>
    <xf numFmtId="0" fontId="14" fillId="0" borderId="3" xfId="0" applyFont="1" applyBorder="1"/>
    <xf numFmtId="0" fontId="11" fillId="0" borderId="15" xfId="0" applyFont="1" applyBorder="1"/>
    <xf numFmtId="0" fontId="10" fillId="0" borderId="16" xfId="0" applyFont="1" applyBorder="1"/>
    <xf numFmtId="0" fontId="11" fillId="0" borderId="17" xfId="0" applyFont="1" applyBorder="1" applyAlignment="1">
      <alignment horizontal="right"/>
    </xf>
    <xf numFmtId="0" fontId="11" fillId="0" borderId="18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165" fontId="10" fillId="0" borderId="0" xfId="0" applyNumberFormat="1" applyFont="1"/>
    <xf numFmtId="166" fontId="10" fillId="0" borderId="0" xfId="0" applyNumberFormat="1" applyFont="1"/>
    <xf numFmtId="0" fontId="13" fillId="0" borderId="13" xfId="0" applyFont="1" applyBorder="1" applyAlignment="1">
      <alignment horizontal="left"/>
    </xf>
    <xf numFmtId="166" fontId="13" fillId="0" borderId="14" xfId="0" applyNumberFormat="1" applyFont="1" applyBorder="1"/>
    <xf numFmtId="165" fontId="10" fillId="0" borderId="19" xfId="1" applyNumberFormat="1" applyFont="1" applyFill="1" applyBorder="1" applyProtection="1"/>
    <xf numFmtId="165" fontId="10" fillId="0" borderId="20" xfId="1" applyNumberFormat="1" applyFont="1" applyFill="1" applyBorder="1" applyProtection="1"/>
    <xf numFmtId="165" fontId="10" fillId="0" borderId="21" xfId="1" applyNumberFormat="1" applyFont="1" applyFill="1" applyBorder="1" applyProtection="1"/>
    <xf numFmtId="165" fontId="10" fillId="0" borderId="22" xfId="1" applyNumberFormat="1" applyFont="1" applyFill="1" applyBorder="1" applyProtection="1"/>
    <xf numFmtId="165" fontId="11" fillId="0" borderId="0" xfId="0" applyNumberFormat="1" applyFont="1"/>
    <xf numFmtId="166" fontId="11" fillId="0" borderId="0" xfId="0" applyNumberFormat="1" applyFont="1"/>
    <xf numFmtId="165" fontId="11" fillId="0" borderId="22" xfId="1" applyNumberFormat="1" applyFont="1" applyFill="1" applyBorder="1" applyProtection="1"/>
    <xf numFmtId="165" fontId="11" fillId="0" borderId="23" xfId="1" applyNumberFormat="1" applyFont="1" applyFill="1" applyBorder="1" applyProtection="1"/>
    <xf numFmtId="165" fontId="11" fillId="0" borderId="24" xfId="1" applyNumberFormat="1" applyFont="1" applyFill="1" applyBorder="1" applyProtection="1"/>
    <xf numFmtId="0" fontId="10" fillId="0" borderId="3" xfId="0" applyFont="1" applyBorder="1" applyAlignment="1">
      <alignment horizontal="left" indent="1"/>
    </xf>
    <xf numFmtId="165" fontId="10" fillId="0" borderId="0" xfId="1" applyNumberFormat="1" applyFont="1" applyFill="1" applyBorder="1" applyProtection="1"/>
    <xf numFmtId="165" fontId="10" fillId="0" borderId="23" xfId="1" applyNumberFormat="1" applyFont="1" applyFill="1" applyBorder="1" applyProtection="1"/>
    <xf numFmtId="165" fontId="10" fillId="0" borderId="24" xfId="1" applyNumberFormat="1" applyFont="1" applyFill="1" applyBorder="1" applyProtection="1"/>
    <xf numFmtId="0" fontId="10" fillId="2" borderId="3" xfId="0" applyFont="1" applyFill="1" applyBorder="1" applyAlignment="1">
      <alignment horizontal="left"/>
    </xf>
    <xf numFmtId="165" fontId="11" fillId="0" borderId="0" xfId="1" applyNumberFormat="1" applyFont="1" applyFill="1" applyBorder="1" applyProtection="1"/>
    <xf numFmtId="165" fontId="10" fillId="0" borderId="25" xfId="1" applyNumberFormat="1" applyFont="1" applyFill="1" applyBorder="1" applyProtection="1"/>
    <xf numFmtId="166" fontId="10" fillId="0" borderId="25" xfId="0" applyNumberFormat="1" applyFont="1" applyBorder="1"/>
    <xf numFmtId="0" fontId="10" fillId="0" borderId="25" xfId="0" applyFont="1" applyBorder="1"/>
    <xf numFmtId="165" fontId="10" fillId="0" borderId="25" xfId="0" applyNumberFormat="1" applyFont="1" applyBorder="1"/>
    <xf numFmtId="0" fontId="10" fillId="0" borderId="26" xfId="0" applyFont="1" applyBorder="1"/>
    <xf numFmtId="165" fontId="10" fillId="0" borderId="27" xfId="1" applyNumberFormat="1" applyFont="1" applyFill="1" applyBorder="1" applyProtection="1"/>
    <xf numFmtId="165" fontId="10" fillId="0" borderId="28" xfId="1" applyNumberFormat="1" applyFont="1" applyFill="1" applyBorder="1" applyProtection="1"/>
    <xf numFmtId="165" fontId="10" fillId="0" borderId="29" xfId="1" applyNumberFormat="1" applyFont="1" applyFill="1" applyBorder="1" applyProtection="1"/>
    <xf numFmtId="165" fontId="11" fillId="0" borderId="3" xfId="1" applyNumberFormat="1" applyFont="1" applyFill="1" applyBorder="1" applyProtection="1"/>
    <xf numFmtId="165" fontId="11" fillId="0" borderId="30" xfId="1" applyNumberFormat="1" applyFont="1" applyFill="1" applyBorder="1" applyProtection="1"/>
    <xf numFmtId="165" fontId="11" fillId="0" borderId="4" xfId="1" applyNumberFormat="1" applyFont="1" applyFill="1" applyBorder="1" applyProtection="1"/>
    <xf numFmtId="165" fontId="10" fillId="0" borderId="3" xfId="1" applyNumberFormat="1" applyFont="1" applyFill="1" applyBorder="1" applyProtection="1"/>
    <xf numFmtId="165" fontId="10" fillId="0" borderId="4" xfId="1" applyNumberFormat="1" applyFont="1" applyFill="1" applyBorder="1" applyProtection="1"/>
    <xf numFmtId="165" fontId="10" fillId="0" borderId="15" xfId="1" applyNumberFormat="1" applyFont="1" applyFill="1" applyBorder="1" applyProtection="1"/>
    <xf numFmtId="166" fontId="10" fillId="0" borderId="15" xfId="0" applyNumberFormat="1" applyFont="1" applyBorder="1"/>
    <xf numFmtId="0" fontId="10" fillId="0" borderId="15" xfId="0" applyFont="1" applyBorder="1"/>
    <xf numFmtId="165" fontId="10" fillId="0" borderId="15" xfId="0" applyNumberFormat="1" applyFont="1" applyBorder="1"/>
    <xf numFmtId="167" fontId="13" fillId="0" borderId="14" xfId="1" applyNumberFormat="1" applyFont="1" applyFill="1" applyBorder="1" applyProtection="1"/>
    <xf numFmtId="165" fontId="10" fillId="0" borderId="17" xfId="1" applyNumberFormat="1" applyFont="1" applyFill="1" applyBorder="1" applyProtection="1"/>
    <xf numFmtId="165" fontId="10" fillId="0" borderId="18" xfId="1" applyNumberFormat="1" applyFont="1" applyFill="1" applyBorder="1" applyProtection="1"/>
    <xf numFmtId="165" fontId="10" fillId="0" borderId="7" xfId="1" applyNumberFormat="1" applyFont="1" applyFill="1" applyBorder="1" applyProtection="1"/>
    <xf numFmtId="165" fontId="10" fillId="0" borderId="31" xfId="1" applyNumberFormat="1" applyFont="1" applyFill="1" applyBorder="1" applyProtection="1"/>
    <xf numFmtId="165" fontId="10" fillId="0" borderId="32" xfId="1" applyNumberFormat="1" applyFont="1" applyFill="1" applyBorder="1" applyProtection="1"/>
    <xf numFmtId="0" fontId="10" fillId="0" borderId="5" xfId="0" applyFont="1" applyBorder="1"/>
    <xf numFmtId="0" fontId="10" fillId="0" borderId="10" xfId="0" applyFont="1" applyBorder="1"/>
    <xf numFmtId="37" fontId="10" fillId="0" borderId="10" xfId="0" applyNumberFormat="1" applyFont="1" applyBorder="1"/>
    <xf numFmtId="166" fontId="10" fillId="0" borderId="10" xfId="0" applyNumberFormat="1" applyFont="1" applyBorder="1"/>
    <xf numFmtId="0" fontId="10" fillId="0" borderId="6" xfId="0" applyFont="1" applyBorder="1"/>
    <xf numFmtId="37" fontId="10" fillId="0" borderId="33" xfId="0" applyNumberFormat="1" applyFont="1" applyBorder="1"/>
    <xf numFmtId="37" fontId="10" fillId="0" borderId="34" xfId="0" applyNumberFormat="1" applyFont="1" applyBorder="1"/>
    <xf numFmtId="37" fontId="10" fillId="0" borderId="35" xfId="0" applyNumberFormat="1" applyFont="1" applyBorder="1"/>
    <xf numFmtId="37" fontId="10" fillId="0" borderId="9" xfId="0" applyNumberFormat="1" applyFont="1" applyBorder="1"/>
    <xf numFmtId="166" fontId="10" fillId="0" borderId="9" xfId="0" applyNumberFormat="1" applyFont="1" applyBorder="1"/>
    <xf numFmtId="37" fontId="10" fillId="0" borderId="3" xfId="0" applyNumberFormat="1" applyFont="1" applyBorder="1"/>
    <xf numFmtId="37" fontId="10" fillId="0" borderId="36" xfId="0" applyNumberFormat="1" applyFont="1" applyBorder="1"/>
    <xf numFmtId="37" fontId="10" fillId="0" borderId="4" xfId="0" applyNumberFormat="1" applyFont="1" applyBorder="1"/>
    <xf numFmtId="37" fontId="10" fillId="0" borderId="0" xfId="0" applyNumberFormat="1" applyFont="1"/>
    <xf numFmtId="165" fontId="10" fillId="0" borderId="36" xfId="1" applyNumberFormat="1" applyFont="1" applyFill="1" applyBorder="1" applyProtection="1"/>
    <xf numFmtId="165" fontId="10" fillId="0" borderId="37" xfId="1" applyNumberFormat="1" applyFont="1" applyFill="1" applyBorder="1" applyProtection="1"/>
    <xf numFmtId="165" fontId="10" fillId="0" borderId="38" xfId="1" applyNumberFormat="1" applyFont="1" applyFill="1" applyBorder="1" applyProtection="1"/>
    <xf numFmtId="165" fontId="10" fillId="0" borderId="39" xfId="1" applyNumberFormat="1" applyFont="1" applyFill="1" applyBorder="1" applyProtection="1"/>
    <xf numFmtId="165" fontId="10" fillId="0" borderId="13" xfId="1" applyNumberFormat="1" applyFont="1" applyFill="1" applyBorder="1" applyProtection="1"/>
    <xf numFmtId="0" fontId="10" fillId="3" borderId="3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165" fontId="11" fillId="0" borderId="10" xfId="0" applyNumberFormat="1" applyFont="1" applyBorder="1"/>
    <xf numFmtId="166" fontId="11" fillId="0" borderId="10" xfId="0" applyNumberFormat="1" applyFont="1" applyBorder="1"/>
    <xf numFmtId="0" fontId="11" fillId="0" borderId="10" xfId="0" applyFont="1" applyBorder="1"/>
    <xf numFmtId="0" fontId="13" fillId="0" borderId="40" xfId="0" applyFont="1" applyBorder="1"/>
    <xf numFmtId="166" fontId="13" fillId="0" borderId="41" xfId="0" applyNumberFormat="1" applyFont="1" applyBorder="1"/>
    <xf numFmtId="165" fontId="11" fillId="0" borderId="42" xfId="1" applyNumberFormat="1" applyFont="1" applyFill="1" applyBorder="1" applyProtection="1"/>
    <xf numFmtId="165" fontId="11" fillId="0" borderId="43" xfId="1" applyNumberFormat="1" applyFont="1" applyFill="1" applyBorder="1" applyProtection="1"/>
    <xf numFmtId="165" fontId="11" fillId="0" borderId="6" xfId="1" applyNumberFormat="1" applyFont="1" applyFill="1" applyBorder="1" applyProtection="1"/>
    <xf numFmtId="167" fontId="10" fillId="0" borderId="0" xfId="1" applyNumberFormat="1" applyFont="1" applyFill="1" applyBorder="1" applyProtection="1"/>
    <xf numFmtId="0" fontId="10" fillId="2" borderId="1" xfId="0" applyFont="1" applyFill="1" applyBorder="1" applyAlignment="1">
      <alignment horizontal="left"/>
    </xf>
    <xf numFmtId="165" fontId="10" fillId="0" borderId="9" xfId="1" applyNumberFormat="1" applyFont="1" applyFill="1" applyBorder="1" applyProtection="1"/>
    <xf numFmtId="165" fontId="10" fillId="0" borderId="10" xfId="1" applyNumberFormat="1" applyFont="1" applyFill="1" applyBorder="1" applyProtection="1"/>
    <xf numFmtId="10" fontId="13" fillId="0" borderId="14" xfId="0" applyNumberFormat="1" applyFont="1" applyBorder="1"/>
    <xf numFmtId="0" fontId="18" fillId="4" borderId="44" xfId="0" applyFont="1" applyFill="1" applyBorder="1"/>
    <xf numFmtId="0" fontId="18" fillId="0" borderId="0" xfId="0" applyFont="1"/>
    <xf numFmtId="0" fontId="18" fillId="4" borderId="45" xfId="0" applyFont="1" applyFill="1" applyBorder="1"/>
    <xf numFmtId="0" fontId="18" fillId="4" borderId="46" xfId="0" applyFont="1" applyFill="1" applyBorder="1"/>
    <xf numFmtId="0" fontId="16" fillId="0" borderId="0" xfId="0" applyFont="1"/>
    <xf numFmtId="0" fontId="18" fillId="4" borderId="47" xfId="0" applyFont="1" applyFill="1" applyBorder="1"/>
    <xf numFmtId="0" fontId="18" fillId="4" borderId="0" xfId="0" applyFont="1" applyFill="1"/>
    <xf numFmtId="0" fontId="18" fillId="4" borderId="48" xfId="0" applyFont="1" applyFill="1" applyBorder="1"/>
    <xf numFmtId="0" fontId="16" fillId="4" borderId="47" xfId="0" applyFont="1" applyFill="1" applyBorder="1"/>
    <xf numFmtId="0" fontId="19" fillId="0" borderId="0" xfId="0" applyFont="1"/>
    <xf numFmtId="0" fontId="19" fillId="5" borderId="49" xfId="0" applyFont="1" applyFill="1" applyBorder="1"/>
    <xf numFmtId="0" fontId="19" fillId="5" borderId="52" xfId="0" applyFont="1" applyFill="1" applyBorder="1"/>
    <xf numFmtId="0" fontId="16" fillId="0" borderId="53" xfId="0" applyFont="1" applyBorder="1"/>
    <xf numFmtId="0" fontId="16" fillId="0" borderId="55" xfId="0" applyFont="1" applyBorder="1"/>
    <xf numFmtId="0" fontId="16" fillId="0" borderId="56" xfId="0" applyFont="1" applyBorder="1"/>
    <xf numFmtId="9" fontId="16" fillId="0" borderId="53" xfId="0" applyNumberFormat="1" applyFont="1" applyBorder="1"/>
    <xf numFmtId="0" fontId="16" fillId="0" borderId="57" xfId="0" applyFont="1" applyBorder="1"/>
    <xf numFmtId="0" fontId="16" fillId="0" borderId="58" xfId="0" applyFont="1" applyBorder="1"/>
    <xf numFmtId="0" fontId="16" fillId="0" borderId="59" xfId="0" applyFont="1" applyBorder="1"/>
    <xf numFmtId="9" fontId="16" fillId="0" borderId="60" xfId="0" applyNumberFormat="1" applyFont="1" applyBorder="1"/>
    <xf numFmtId="0" fontId="16" fillId="0" borderId="61" xfId="0" applyFont="1" applyBorder="1"/>
    <xf numFmtId="0" fontId="16" fillId="0" borderId="62" xfId="0" applyFont="1" applyBorder="1"/>
    <xf numFmtId="2" fontId="16" fillId="0" borderId="54" xfId="0" applyNumberFormat="1" applyFont="1" applyBorder="1"/>
    <xf numFmtId="2" fontId="16" fillId="0" borderId="55" xfId="0" applyNumberFormat="1" applyFont="1" applyBorder="1"/>
    <xf numFmtId="0" fontId="18" fillId="4" borderId="0" xfId="0" applyFont="1" applyFill="1" applyAlignment="1">
      <alignment horizontal="center"/>
    </xf>
    <xf numFmtId="2" fontId="16" fillId="0" borderId="53" xfId="0" applyNumberFormat="1" applyFont="1" applyBorder="1"/>
    <xf numFmtId="2" fontId="16" fillId="0" borderId="60" xfId="0" applyNumberFormat="1" applyFont="1" applyBorder="1"/>
    <xf numFmtId="2" fontId="16" fillId="0" borderId="57" xfId="0" applyNumberFormat="1" applyFont="1" applyBorder="1"/>
    <xf numFmtId="2" fontId="16" fillId="0" borderId="61" xfId="0" applyNumberFormat="1" applyFont="1" applyBorder="1"/>
    <xf numFmtId="0" fontId="16" fillId="6" borderId="1" xfId="0" applyFont="1" applyFill="1" applyBorder="1"/>
    <xf numFmtId="0" fontId="16" fillId="6" borderId="9" xfId="0" applyFont="1" applyFill="1" applyBorder="1"/>
    <xf numFmtId="0" fontId="16" fillId="6" borderId="2" xfId="0" applyFont="1" applyFill="1" applyBorder="1"/>
    <xf numFmtId="0" fontId="16" fillId="6" borderId="3" xfId="0" applyFont="1" applyFill="1" applyBorder="1"/>
    <xf numFmtId="0" fontId="16" fillId="6" borderId="0" xfId="0" applyFont="1" applyFill="1"/>
    <xf numFmtId="0" fontId="16" fillId="6" borderId="4" xfId="0" applyFont="1" applyFill="1" applyBorder="1"/>
    <xf numFmtId="0" fontId="19" fillId="7" borderId="49" xfId="0" applyFont="1" applyFill="1" applyBorder="1"/>
    <xf numFmtId="0" fontId="19" fillId="7" borderId="64" xfId="0" applyFont="1" applyFill="1" applyBorder="1"/>
    <xf numFmtId="0" fontId="16" fillId="0" borderId="49" xfId="0" applyFont="1" applyBorder="1"/>
    <xf numFmtId="0" fontId="16" fillId="0" borderId="64" xfId="0" applyFont="1" applyBorder="1"/>
    <xf numFmtId="9" fontId="16" fillId="0" borderId="0" xfId="0" applyNumberFormat="1" applyFont="1"/>
    <xf numFmtId="9" fontId="16" fillId="0" borderId="10" xfId="0" applyNumberFormat="1" applyFont="1" applyBorder="1"/>
    <xf numFmtId="0" fontId="16" fillId="0" borderId="65" xfId="0" applyFont="1" applyBorder="1"/>
    <xf numFmtId="0" fontId="16" fillId="0" borderId="66" xfId="0" applyFont="1" applyBorder="1"/>
    <xf numFmtId="2" fontId="16" fillId="0" borderId="49" xfId="0" applyNumberFormat="1" applyFont="1" applyBorder="1"/>
    <xf numFmtId="2" fontId="16" fillId="0" borderId="65" xfId="0" applyNumberFormat="1" applyFont="1" applyBorder="1"/>
    <xf numFmtId="0" fontId="20" fillId="8" borderId="0" xfId="0" applyFont="1" applyFill="1"/>
    <xf numFmtId="0" fontId="21" fillId="9" borderId="0" xfId="0" applyFont="1" applyFill="1"/>
    <xf numFmtId="0" fontId="21" fillId="0" borderId="0" xfId="0" applyFont="1"/>
    <xf numFmtId="0" fontId="11" fillId="0" borderId="1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6" fillId="6" borderId="3" xfId="0" applyFont="1" applyFill="1" applyBorder="1" applyAlignment="1">
      <alignment horizontal="center" vertical="center"/>
    </xf>
    <xf numFmtId="0" fontId="19" fillId="5" borderId="50" xfId="0" applyFont="1" applyFill="1" applyBorder="1" applyAlignment="1">
      <alignment horizontal="center"/>
    </xf>
    <xf numFmtId="0" fontId="19" fillId="5" borderId="51" xfId="0" applyFont="1" applyFill="1" applyBorder="1" applyAlignment="1">
      <alignment horizontal="center"/>
    </xf>
    <xf numFmtId="0" fontId="19" fillId="0" borderId="6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4" borderId="47" xfId="0" applyFont="1" applyFill="1" applyBorder="1" applyAlignment="1">
      <alignment horizontal="center" vertical="center"/>
    </xf>
    <xf numFmtId="0" fontId="19" fillId="7" borderId="50" xfId="0" applyFont="1" applyFill="1" applyBorder="1" applyAlignment="1">
      <alignment horizontal="center"/>
    </xf>
    <xf numFmtId="0" fontId="19" fillId="7" borderId="51" xfId="0" applyFont="1" applyFill="1" applyBorder="1" applyAlignment="1">
      <alignment horizontal="center"/>
    </xf>
  </cellXfs>
  <cellStyles count="4">
    <cellStyle name="Comma" xfId="1" builtinId="3"/>
    <cellStyle name="Comma 2" xfId="3" xr:uid="{11D2C7DF-7768-4395-A871-8E2ECA613B95}"/>
    <cellStyle name="Normal" xfId="0" builtinId="0"/>
    <cellStyle name="Normal 3" xfId="2" xr:uid="{FDF5F65A-207E-4A23-80E4-CAB7ECBD6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DF4A-95B3-4EF0-A4C3-1BCA526AD3B3}">
  <dimension ref="B2:C37"/>
  <sheetViews>
    <sheetView workbookViewId="0">
      <selection activeCell="G11" sqref="G11"/>
    </sheetView>
  </sheetViews>
  <sheetFormatPr defaultRowHeight="14.5"/>
  <cols>
    <col min="2" max="2" width="27.81640625" bestFit="1" customWidth="1"/>
    <col min="3" max="3" width="8" bestFit="1" customWidth="1"/>
  </cols>
  <sheetData>
    <row r="2" spans="2:3" ht="15" thickBot="1"/>
    <row r="3" spans="2:3">
      <c r="B3" s="1" t="s">
        <v>0</v>
      </c>
      <c r="C3" s="2"/>
    </row>
    <row r="4" spans="2:3">
      <c r="B4" s="3"/>
      <c r="C4" s="4"/>
    </row>
    <row r="5" spans="2:3">
      <c r="B5" s="3" t="s">
        <v>1</v>
      </c>
      <c r="C5" s="5">
        <v>422733</v>
      </c>
    </row>
    <row r="6" spans="2:3">
      <c r="B6" s="3" t="s">
        <v>2</v>
      </c>
      <c r="C6" s="6">
        <v>0.38</v>
      </c>
    </row>
    <row r="7" spans="2:3">
      <c r="B7" s="3" t="s">
        <v>3</v>
      </c>
      <c r="C7" s="6">
        <v>0.5</v>
      </c>
    </row>
    <row r="8" spans="2:3">
      <c r="B8" s="3" t="s">
        <v>4</v>
      </c>
      <c r="C8" s="6">
        <v>0.06</v>
      </c>
    </row>
    <row r="9" spans="2:3">
      <c r="B9" s="3" t="s">
        <v>5</v>
      </c>
      <c r="C9" s="6">
        <v>0.3</v>
      </c>
    </row>
    <row r="10" spans="2:3">
      <c r="B10" s="3" t="s">
        <v>6</v>
      </c>
      <c r="C10" s="5">
        <v>10900</v>
      </c>
    </row>
    <row r="11" spans="2:3">
      <c r="B11" s="3" t="s">
        <v>7</v>
      </c>
      <c r="C11" s="6">
        <v>0.32</v>
      </c>
    </row>
    <row r="12" spans="2:3">
      <c r="B12" s="3" t="s">
        <v>8</v>
      </c>
      <c r="C12" s="6">
        <v>0.28000000000000003</v>
      </c>
    </row>
    <row r="13" spans="2:3">
      <c r="B13" s="3" t="s">
        <v>9</v>
      </c>
      <c r="C13" s="5">
        <v>110600</v>
      </c>
    </row>
    <row r="14" spans="2:3" ht="15" thickBot="1">
      <c r="B14" s="7" t="s">
        <v>10</v>
      </c>
      <c r="C14" s="8">
        <v>121600</v>
      </c>
    </row>
    <row r="15" spans="2:3" ht="15" thickBot="1">
      <c r="B15" s="9"/>
      <c r="C15" s="9"/>
    </row>
    <row r="16" spans="2:3">
      <c r="B16" s="10" t="s">
        <v>11</v>
      </c>
      <c r="C16" s="11">
        <v>2002</v>
      </c>
    </row>
    <row r="17" spans="2:3">
      <c r="B17" s="12"/>
      <c r="C17" s="13"/>
    </row>
    <row r="18" spans="2:3">
      <c r="B18" s="12" t="s">
        <v>1</v>
      </c>
      <c r="C18" s="14">
        <f>+C5</f>
        <v>422733</v>
      </c>
    </row>
    <row r="19" spans="2:3">
      <c r="B19" s="12" t="s">
        <v>12</v>
      </c>
      <c r="C19" s="14">
        <f>C6*C18</f>
        <v>160638.54</v>
      </c>
    </row>
    <row r="20" spans="2:3">
      <c r="B20" s="12" t="s">
        <v>13</v>
      </c>
      <c r="C20" s="14">
        <f>C18*C7</f>
        <v>211366.5</v>
      </c>
    </row>
    <row r="21" spans="2:3">
      <c r="B21" s="12" t="s">
        <v>14</v>
      </c>
      <c r="C21" s="15">
        <f ca="1">C8*C35</f>
        <v>-1171.2057620041744</v>
      </c>
    </row>
    <row r="22" spans="2:3">
      <c r="B22" s="12" t="s">
        <v>15</v>
      </c>
      <c r="C22" s="14">
        <f ca="1">C18-C19-C20-C21</f>
        <v>51899.165762004166</v>
      </c>
    </row>
    <row r="23" spans="2:3">
      <c r="B23" s="12" t="s">
        <v>16</v>
      </c>
      <c r="C23" s="14">
        <f ca="1">C9*C22</f>
        <v>15569.749728601249</v>
      </c>
    </row>
    <row r="24" spans="2:3" ht="15" thickBot="1">
      <c r="B24" s="12" t="s">
        <v>17</v>
      </c>
      <c r="C24" s="16">
        <f ca="1">C22-C23</f>
        <v>36329.416033402915</v>
      </c>
    </row>
    <row r="25" spans="2:3" ht="15" thickTop="1">
      <c r="B25" s="12" t="s">
        <v>18</v>
      </c>
      <c r="C25" s="14">
        <f>C10</f>
        <v>10900</v>
      </c>
    </row>
    <row r="26" spans="2:3" ht="15" thickBot="1">
      <c r="B26" s="17" t="s">
        <v>19</v>
      </c>
      <c r="C26" s="18">
        <f ca="1">C24-C25</f>
        <v>25429.416033402915</v>
      </c>
    </row>
    <row r="27" spans="2:3" ht="15" thickBot="1">
      <c r="B27" s="19"/>
      <c r="C27" s="19"/>
    </row>
    <row r="28" spans="2:3">
      <c r="B28" s="10" t="s">
        <v>20</v>
      </c>
      <c r="C28" s="20"/>
    </row>
    <row r="29" spans="2:3">
      <c r="B29" s="12"/>
      <c r="C29" s="21"/>
    </row>
    <row r="30" spans="2:3">
      <c r="B30" s="12" t="s">
        <v>21</v>
      </c>
      <c r="C30" s="14">
        <f>C11*C18</f>
        <v>135274.56</v>
      </c>
    </row>
    <row r="31" spans="2:3">
      <c r="B31" s="12" t="s">
        <v>9</v>
      </c>
      <c r="C31" s="14">
        <f>C13</f>
        <v>110600</v>
      </c>
    </row>
    <row r="32" spans="2:3" ht="15" thickBot="1">
      <c r="B32" s="12" t="s">
        <v>22</v>
      </c>
      <c r="C32" s="16">
        <f>C30+C31</f>
        <v>245874.56</v>
      </c>
    </row>
    <row r="33" spans="2:3" ht="15" thickTop="1">
      <c r="B33" s="12"/>
      <c r="C33" s="14"/>
    </row>
    <row r="34" spans="2:3">
      <c r="B34" s="12" t="s">
        <v>23</v>
      </c>
      <c r="C34" s="14">
        <f>C12*C18</f>
        <v>118365.24</v>
      </c>
    </row>
    <row r="35" spans="2:3">
      <c r="B35" s="12" t="s">
        <v>24</v>
      </c>
      <c r="C35" s="14">
        <f ca="1">C32-C34-C36</f>
        <v>-19520.096033402908</v>
      </c>
    </row>
    <row r="36" spans="2:3">
      <c r="B36" s="12" t="s">
        <v>25</v>
      </c>
      <c r="C36" s="14">
        <f ca="1">C14+C26</f>
        <v>147029.4160334029</v>
      </c>
    </row>
    <row r="37" spans="2:3" ht="15" thickBot="1">
      <c r="B37" s="17" t="s">
        <v>26</v>
      </c>
      <c r="C37" s="16">
        <f ca="1">C34+C35+C36</f>
        <v>245874.56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9190-DF5B-4AFF-B260-26A699D75EDE}">
  <dimension ref="B2:M42"/>
  <sheetViews>
    <sheetView zoomScale="81" zoomScaleNormal="81" workbookViewId="0">
      <selection activeCell="J23" sqref="J23"/>
    </sheetView>
  </sheetViews>
  <sheetFormatPr defaultRowHeight="14.5"/>
  <cols>
    <col min="2" max="2" width="29.6328125" bestFit="1" customWidth="1"/>
    <col min="3" max="3" width="9.36328125" bestFit="1" customWidth="1"/>
    <col min="5" max="5" width="17.90625" bestFit="1" customWidth="1"/>
    <col min="6" max="6" width="16.90625" customWidth="1"/>
    <col min="7" max="7" width="17.453125" customWidth="1"/>
    <col min="9" max="9" width="29.6328125" bestFit="1" customWidth="1"/>
    <col min="10" max="10" width="9.36328125" bestFit="1" customWidth="1"/>
    <col min="12" max="12" width="29.6328125" bestFit="1" customWidth="1"/>
    <col min="13" max="13" width="9.36328125" bestFit="1" customWidth="1"/>
  </cols>
  <sheetData>
    <row r="2" spans="2:13" ht="15" thickBot="1">
      <c r="I2" s="9" t="s">
        <v>36</v>
      </c>
      <c r="J2" s="9"/>
      <c r="L2" s="9" t="s">
        <v>37</v>
      </c>
      <c r="M2" s="9"/>
    </row>
    <row r="3" spans="2:13">
      <c r="B3" s="1" t="s">
        <v>0</v>
      </c>
      <c r="C3" s="2"/>
      <c r="I3" s="1" t="s">
        <v>0</v>
      </c>
      <c r="J3" s="2"/>
      <c r="L3" s="1" t="s">
        <v>0</v>
      </c>
      <c r="M3" s="2"/>
    </row>
    <row r="4" spans="2:13">
      <c r="B4" s="3"/>
      <c r="C4" s="4"/>
      <c r="I4" s="3"/>
      <c r="J4" s="4"/>
      <c r="L4" s="3"/>
      <c r="M4" s="4"/>
    </row>
    <row r="5" spans="2:13">
      <c r="B5" s="3" t="s">
        <v>1</v>
      </c>
      <c r="C5" s="5">
        <v>422733</v>
      </c>
      <c r="I5" s="3" t="s">
        <v>1</v>
      </c>
      <c r="J5" s="5">
        <v>422733</v>
      </c>
      <c r="L5" s="3" t="s">
        <v>1</v>
      </c>
      <c r="M5" s="5">
        <v>422733</v>
      </c>
    </row>
    <row r="6" spans="2:13" ht="15" thickBot="1">
      <c r="B6" s="3" t="s">
        <v>2</v>
      </c>
      <c r="C6" s="6">
        <v>0.38</v>
      </c>
      <c r="I6" s="3" t="s">
        <v>2</v>
      </c>
      <c r="J6" s="6">
        <v>0.38</v>
      </c>
      <c r="L6" s="3" t="s">
        <v>2</v>
      </c>
      <c r="M6" s="6">
        <v>0.38</v>
      </c>
    </row>
    <row r="7" spans="2:13">
      <c r="B7" s="3" t="s">
        <v>3</v>
      </c>
      <c r="C7" s="6">
        <v>0.5</v>
      </c>
      <c r="E7" s="10" t="s">
        <v>27</v>
      </c>
      <c r="F7" s="23"/>
      <c r="G7" s="24"/>
      <c r="I7" s="3" t="s">
        <v>3</v>
      </c>
      <c r="J7" s="6">
        <v>0.5</v>
      </c>
      <c r="L7" s="3" t="s">
        <v>3</v>
      </c>
      <c r="M7" s="6">
        <v>0.5</v>
      </c>
    </row>
    <row r="8" spans="2:13">
      <c r="B8" s="3" t="s">
        <v>4</v>
      </c>
      <c r="C8" s="6">
        <v>0.06</v>
      </c>
      <c r="E8" s="12" t="s">
        <v>28</v>
      </c>
      <c r="F8" s="25"/>
      <c r="G8" s="13"/>
      <c r="I8" s="3" t="s">
        <v>4</v>
      </c>
      <c r="J8" s="6">
        <v>0</v>
      </c>
      <c r="L8" s="3" t="s">
        <v>4</v>
      </c>
      <c r="M8" s="6">
        <v>0.06</v>
      </c>
    </row>
    <row r="9" spans="2:13">
      <c r="B9" s="3" t="s">
        <v>5</v>
      </c>
      <c r="C9" s="6">
        <v>0.3</v>
      </c>
      <c r="E9" s="26" t="s">
        <v>29</v>
      </c>
      <c r="F9" s="25"/>
      <c r="G9" s="13"/>
      <c r="I9" s="3" t="s">
        <v>5</v>
      </c>
      <c r="J9" s="6">
        <v>0.3</v>
      </c>
      <c r="L9" s="3" t="s">
        <v>5</v>
      </c>
      <c r="M9" s="6">
        <v>0.3</v>
      </c>
    </row>
    <row r="10" spans="2:13">
      <c r="B10" s="3" t="s">
        <v>6</v>
      </c>
      <c r="C10" s="6">
        <v>10900</v>
      </c>
      <c r="E10" s="12"/>
      <c r="F10" s="25"/>
      <c r="G10" s="13"/>
      <c r="I10" s="3" t="s">
        <v>6</v>
      </c>
      <c r="J10" s="6">
        <v>10900</v>
      </c>
      <c r="L10" s="3" t="s">
        <v>6</v>
      </c>
      <c r="M10" s="6">
        <v>10900</v>
      </c>
    </row>
    <row r="11" spans="2:13">
      <c r="B11" s="3" t="s">
        <v>7</v>
      </c>
      <c r="C11" s="6">
        <v>0.32</v>
      </c>
      <c r="E11" s="27" t="s">
        <v>2</v>
      </c>
      <c r="F11" s="28" t="s">
        <v>24</v>
      </c>
      <c r="G11" s="29" t="s">
        <v>30</v>
      </c>
      <c r="I11" s="3" t="s">
        <v>7</v>
      </c>
      <c r="J11" s="6">
        <v>0.32</v>
      </c>
      <c r="L11" s="3" t="s">
        <v>7</v>
      </c>
      <c r="M11" s="6">
        <v>0.32</v>
      </c>
    </row>
    <row r="12" spans="2:13">
      <c r="B12" s="3" t="s">
        <v>8</v>
      </c>
      <c r="C12" s="6">
        <v>0.28000000000000003</v>
      </c>
      <c r="E12" s="30"/>
      <c r="F12" s="31">
        <f ca="1">C36</f>
        <v>0</v>
      </c>
      <c r="G12" s="32">
        <f ca="1">C30</f>
        <v>19520.095863854222</v>
      </c>
      <c r="I12" s="3" t="s">
        <v>8</v>
      </c>
      <c r="J12" s="6">
        <v>0.28000000000000003</v>
      </c>
      <c r="L12" s="3" t="s">
        <v>8</v>
      </c>
      <c r="M12" s="6">
        <v>0.28000000000000003</v>
      </c>
    </row>
    <row r="13" spans="2:13">
      <c r="B13" s="3" t="s">
        <v>9</v>
      </c>
      <c r="C13" s="5">
        <v>110600</v>
      </c>
      <c r="E13" s="30">
        <v>0.35</v>
      </c>
      <c r="F13" s="33">
        <f t="dataTable" ref="F13:G19" dt2D="0" dtr="0" r1="C6" ca="1"/>
        <v>0</v>
      </c>
      <c r="G13" s="34">
        <v>28786.685752893216</v>
      </c>
      <c r="I13" s="3" t="s">
        <v>9</v>
      </c>
      <c r="J13" s="5">
        <v>110600</v>
      </c>
      <c r="L13" s="3" t="s">
        <v>9</v>
      </c>
      <c r="M13" s="5">
        <v>110600</v>
      </c>
    </row>
    <row r="14" spans="2:13" ht="15" thickBot="1">
      <c r="B14" s="7" t="s">
        <v>10</v>
      </c>
      <c r="C14" s="8">
        <v>121600</v>
      </c>
      <c r="E14" s="30">
        <v>0.38</v>
      </c>
      <c r="F14" s="33">
        <v>0</v>
      </c>
      <c r="G14" s="34">
        <v>19520.096084267541</v>
      </c>
      <c r="I14" s="7" t="s">
        <v>10</v>
      </c>
      <c r="J14" s="8">
        <v>121600</v>
      </c>
      <c r="L14" s="7" t="s">
        <v>10</v>
      </c>
      <c r="M14" s="8">
        <v>121600</v>
      </c>
    </row>
    <row r="15" spans="2:13" ht="15" thickBot="1">
      <c r="B15" s="9"/>
      <c r="C15" s="9"/>
      <c r="E15" s="30">
        <v>0.4</v>
      </c>
      <c r="F15" s="33">
        <v>0</v>
      </c>
      <c r="G15" s="34">
        <v>13342.370327207667</v>
      </c>
      <c r="I15" s="9"/>
      <c r="J15" s="9"/>
      <c r="L15" s="9"/>
      <c r="M15" s="9"/>
    </row>
    <row r="16" spans="2:13">
      <c r="B16" s="10" t="s">
        <v>11</v>
      </c>
      <c r="C16" s="11">
        <v>2002</v>
      </c>
      <c r="E16" s="30">
        <v>0.42</v>
      </c>
      <c r="F16" s="33">
        <v>0</v>
      </c>
      <c r="G16" s="34">
        <v>7164.6438136377838</v>
      </c>
      <c r="I16" s="10" t="s">
        <v>11</v>
      </c>
      <c r="J16" s="11">
        <v>2002</v>
      </c>
      <c r="L16" s="10" t="s">
        <v>11</v>
      </c>
      <c r="M16" s="11">
        <v>2002</v>
      </c>
    </row>
    <row r="17" spans="2:13">
      <c r="B17" s="12"/>
      <c r="C17" s="13"/>
      <c r="E17" s="30">
        <v>0.44</v>
      </c>
      <c r="F17" s="33">
        <v>0</v>
      </c>
      <c r="G17" s="14">
        <v>986.91730006784201</v>
      </c>
      <c r="I17" s="12"/>
      <c r="J17" s="13"/>
      <c r="L17" s="12"/>
      <c r="M17" s="13"/>
    </row>
    <row r="18" spans="2:13">
      <c r="B18" s="35" t="s">
        <v>1</v>
      </c>
      <c r="C18" s="34">
        <f>C5</f>
        <v>422733</v>
      </c>
      <c r="E18" s="30">
        <v>0.45</v>
      </c>
      <c r="F18" s="33">
        <v>2101.9463604044868</v>
      </c>
      <c r="G18" s="34">
        <v>0</v>
      </c>
      <c r="I18" s="35" t="s">
        <v>1</v>
      </c>
      <c r="J18" s="34">
        <f>J5</f>
        <v>422733</v>
      </c>
      <c r="L18" s="35" t="s">
        <v>1</v>
      </c>
      <c r="M18" s="34">
        <f>M5</f>
        <v>422733</v>
      </c>
    </row>
    <row r="19" spans="2:13" ht="15" thickBot="1">
      <c r="B19" s="35" t="s">
        <v>12</v>
      </c>
      <c r="C19" s="34">
        <f>C6*C18</f>
        <v>160638.54</v>
      </c>
      <c r="E19" s="36">
        <v>0.48</v>
      </c>
      <c r="F19" s="37">
        <v>11368.536483582167</v>
      </c>
      <c r="G19" s="38">
        <v>0</v>
      </c>
      <c r="I19" s="35" t="s">
        <v>12</v>
      </c>
      <c r="J19" s="34">
        <f>J6*J18</f>
        <v>160638.54</v>
      </c>
      <c r="L19" s="35" t="s">
        <v>12</v>
      </c>
      <c r="M19" s="34">
        <f>M6*M18</f>
        <v>160638.54</v>
      </c>
    </row>
    <row r="20" spans="2:13">
      <c r="B20" s="12" t="s">
        <v>13</v>
      </c>
      <c r="C20" s="34">
        <f>C7*C5</f>
        <v>211366.5</v>
      </c>
      <c r="I20" s="12" t="s">
        <v>13</v>
      </c>
      <c r="J20" s="34">
        <f>J7*J5</f>
        <v>211366.5</v>
      </c>
      <c r="L20" s="12" t="s">
        <v>13</v>
      </c>
      <c r="M20" s="34">
        <f>M7*M5</f>
        <v>211366.5</v>
      </c>
    </row>
    <row r="21" spans="2:13">
      <c r="B21" s="35" t="s">
        <v>14</v>
      </c>
      <c r="C21" s="39">
        <f ca="1">(C8*C36)-(C8*C30)</f>
        <v>-1171.2057518312533</v>
      </c>
      <c r="I21" s="35" t="s">
        <v>14</v>
      </c>
      <c r="J21" s="39">
        <f ca="1">(J8*J36)-(J8*J30)</f>
        <v>0</v>
      </c>
      <c r="L21" s="35" t="s">
        <v>14</v>
      </c>
      <c r="M21" s="39">
        <f ca="1">(M8*M36)-(M8*M30)</f>
        <v>-1171.2057620041735</v>
      </c>
    </row>
    <row r="22" spans="2:13">
      <c r="B22" s="35" t="s">
        <v>15</v>
      </c>
      <c r="C22" s="34">
        <f ca="1">C18-C19-C20-C21</f>
        <v>51899.165751831242</v>
      </c>
      <c r="I22" s="35" t="s">
        <v>15</v>
      </c>
      <c r="J22" s="34">
        <f ca="1">J18-J19-J20-J21</f>
        <v>50727.959999999992</v>
      </c>
      <c r="L22" s="35" t="s">
        <v>15</v>
      </c>
      <c r="M22" s="34">
        <f ca="1">M18-M19-M20-M21</f>
        <v>51899.165762004166</v>
      </c>
    </row>
    <row r="23" spans="2:13">
      <c r="B23" s="35" t="s">
        <v>16</v>
      </c>
      <c r="C23" s="34">
        <f ca="1">C9*C22</f>
        <v>15569.749725549373</v>
      </c>
      <c r="I23" s="35" t="s">
        <v>16</v>
      </c>
      <c r="J23" s="34">
        <f ca="1">J9*J22</f>
        <v>15218.387999999997</v>
      </c>
      <c r="L23" s="35" t="s">
        <v>16</v>
      </c>
      <c r="M23" s="34">
        <f ca="1">M9*M22</f>
        <v>15569.749728601249</v>
      </c>
    </row>
    <row r="24" spans="2:13" ht="15" thickBot="1">
      <c r="B24" s="35" t="s">
        <v>17</v>
      </c>
      <c r="C24" s="40">
        <f ca="1">C22-C23</f>
        <v>36329.41602628187</v>
      </c>
      <c r="I24" s="35" t="s">
        <v>17</v>
      </c>
      <c r="J24" s="40">
        <f ca="1">J22-J23</f>
        <v>35509.571999999993</v>
      </c>
      <c r="L24" s="35" t="s">
        <v>17</v>
      </c>
      <c r="M24" s="40">
        <f ca="1">M22-M23</f>
        <v>36329.416033402915</v>
      </c>
    </row>
    <row r="25" spans="2:13" ht="15" thickTop="1">
      <c r="B25" s="35" t="s">
        <v>18</v>
      </c>
      <c r="C25" s="34">
        <f>C10</f>
        <v>10900</v>
      </c>
      <c r="F25" s="33"/>
      <c r="G25" s="33"/>
      <c r="I25" s="35" t="s">
        <v>18</v>
      </c>
      <c r="J25" s="34">
        <f>J10</f>
        <v>10900</v>
      </c>
      <c r="L25" s="35" t="s">
        <v>18</v>
      </c>
      <c r="M25" s="34">
        <f>M10</f>
        <v>10900</v>
      </c>
    </row>
    <row r="26" spans="2:13" ht="15" thickBot="1">
      <c r="B26" s="41" t="s">
        <v>19</v>
      </c>
      <c r="C26" s="38">
        <f ca="1">C24-C25</f>
        <v>25429.41602628187</v>
      </c>
      <c r="F26" s="33"/>
      <c r="G26" s="33"/>
      <c r="I26" s="41" t="s">
        <v>19</v>
      </c>
      <c r="J26" s="38">
        <f ca="1">J24-J25</f>
        <v>24609.571999999993</v>
      </c>
      <c r="L26" s="41" t="s">
        <v>19</v>
      </c>
      <c r="M26" s="38">
        <f ca="1">M24-M25</f>
        <v>25429.416033402915</v>
      </c>
    </row>
    <row r="27" spans="2:13" ht="15" thickBot="1">
      <c r="B27" s="9"/>
      <c r="C27" s="9"/>
      <c r="F27" s="33"/>
      <c r="G27" s="33"/>
      <c r="I27" s="9"/>
      <c r="J27" s="9"/>
      <c r="L27" s="9"/>
      <c r="M27" s="9"/>
    </row>
    <row r="28" spans="2:13">
      <c r="B28" s="42" t="s">
        <v>20</v>
      </c>
      <c r="C28" s="11"/>
      <c r="F28" s="33"/>
      <c r="G28" s="33"/>
      <c r="I28" s="42" t="s">
        <v>20</v>
      </c>
      <c r="J28" s="11"/>
      <c r="L28" s="42" t="s">
        <v>20</v>
      </c>
      <c r="M28" s="11"/>
    </row>
    <row r="29" spans="2:13">
      <c r="B29" s="35"/>
      <c r="C29" s="34"/>
      <c r="F29" s="33"/>
      <c r="G29" s="22"/>
      <c r="I29" s="35"/>
      <c r="J29" s="34"/>
      <c r="L29" s="35"/>
      <c r="M29" s="34"/>
    </row>
    <row r="30" spans="2:13">
      <c r="B30" s="35" t="s">
        <v>32</v>
      </c>
      <c r="C30" s="34">
        <f ca="1">IF(C42&lt;0,-C42,0)</f>
        <v>19520.096026281884</v>
      </c>
      <c r="F30" s="33"/>
      <c r="G30" s="33"/>
      <c r="I30" s="35" t="s">
        <v>32</v>
      </c>
      <c r="J30" s="34">
        <f ca="1">IF(J42&lt;0,-J42,0)</f>
        <v>18700.251999999979</v>
      </c>
      <c r="L30" s="35" t="s">
        <v>32</v>
      </c>
      <c r="M30" s="34">
        <f ca="1">IF(M42&lt;0,-M42,0)</f>
        <v>19520.096033402893</v>
      </c>
    </row>
    <row r="31" spans="2:13">
      <c r="B31" s="35" t="s">
        <v>21</v>
      </c>
      <c r="C31" s="34">
        <f>C11*C18</f>
        <v>135274.56</v>
      </c>
      <c r="F31" s="33"/>
      <c r="G31" s="33"/>
      <c r="I31" s="35" t="s">
        <v>21</v>
      </c>
      <c r="J31" s="34">
        <f>J11*J18</f>
        <v>135274.56</v>
      </c>
      <c r="L31" s="35" t="s">
        <v>21</v>
      </c>
      <c r="M31" s="34">
        <f>M11*M18</f>
        <v>135274.56</v>
      </c>
    </row>
    <row r="32" spans="2:13">
      <c r="B32" s="35" t="s">
        <v>9</v>
      </c>
      <c r="C32" s="34">
        <f>C13</f>
        <v>110600</v>
      </c>
      <c r="I32" s="35" t="s">
        <v>9</v>
      </c>
      <c r="J32" s="34">
        <f>J13</f>
        <v>110600</v>
      </c>
      <c r="L32" s="35" t="s">
        <v>9</v>
      </c>
      <c r="M32" s="34">
        <f>M13</f>
        <v>110600</v>
      </c>
    </row>
    <row r="33" spans="2:13" ht="15" thickBot="1">
      <c r="B33" s="35" t="s">
        <v>22</v>
      </c>
      <c r="C33" s="40">
        <f>C31+C32</f>
        <v>245874.56</v>
      </c>
      <c r="I33" s="35" t="s">
        <v>22</v>
      </c>
      <c r="J33" s="40">
        <f>J31+J32</f>
        <v>245874.56</v>
      </c>
      <c r="L33" s="35" t="s">
        <v>22</v>
      </c>
      <c r="M33" s="40">
        <f>M31+M32</f>
        <v>245874.56</v>
      </c>
    </row>
    <row r="34" spans="2:13" ht="15" thickTop="1">
      <c r="B34" s="35"/>
      <c r="C34" s="34"/>
      <c r="I34" s="35"/>
      <c r="J34" s="34"/>
      <c r="L34" s="35"/>
      <c r="M34" s="34"/>
    </row>
    <row r="35" spans="2:13">
      <c r="B35" s="35" t="s">
        <v>23</v>
      </c>
      <c r="C35" s="34">
        <f>C12*C18</f>
        <v>118365.24</v>
      </c>
      <c r="I35" s="35" t="s">
        <v>23</v>
      </c>
      <c r="J35" s="34">
        <f>J12*J18</f>
        <v>118365.24</v>
      </c>
      <c r="L35" s="35" t="s">
        <v>23</v>
      </c>
      <c r="M35" s="34">
        <f>M12*M18</f>
        <v>118365.24</v>
      </c>
    </row>
    <row r="36" spans="2:13">
      <c r="B36" s="35" t="s">
        <v>24</v>
      </c>
      <c r="C36" s="34">
        <f ca="1">IF(C42&gt;0,C42,0)</f>
        <v>0</v>
      </c>
      <c r="I36" s="35" t="s">
        <v>24</v>
      </c>
      <c r="J36" s="34">
        <f ca="1">IF(J42&gt;0,J42,0)</f>
        <v>0</v>
      </c>
      <c r="L36" s="35" t="s">
        <v>24</v>
      </c>
      <c r="M36" s="34">
        <f ca="1">IF(M42&gt;0,M42,0)</f>
        <v>0</v>
      </c>
    </row>
    <row r="37" spans="2:13">
      <c r="B37" s="35" t="s">
        <v>25</v>
      </c>
      <c r="C37" s="34">
        <f ca="1">C14+C26</f>
        <v>147029.41602628186</v>
      </c>
      <c r="I37" s="35" t="s">
        <v>25</v>
      </c>
      <c r="J37" s="34">
        <f ca="1">J14+J26</f>
        <v>146209.57199999999</v>
      </c>
      <c r="L37" s="35" t="s">
        <v>25</v>
      </c>
      <c r="M37" s="34">
        <f ca="1">M14+M26</f>
        <v>147029.4160334029</v>
      </c>
    </row>
    <row r="38" spans="2:13" ht="15" thickBot="1">
      <c r="B38" s="41" t="s">
        <v>26</v>
      </c>
      <c r="C38" s="40">
        <f ca="1">C35+C36+C37</f>
        <v>265394.65602628188</v>
      </c>
      <c r="I38" s="41" t="s">
        <v>26</v>
      </c>
      <c r="J38" s="40">
        <f ca="1">J35+J36+J37</f>
        <v>264574.81199999998</v>
      </c>
      <c r="L38" s="41" t="s">
        <v>26</v>
      </c>
      <c r="M38" s="40">
        <f ca="1">M35+M36+M37</f>
        <v>265394.65603340289</v>
      </c>
    </row>
    <row r="39" spans="2:13">
      <c r="B39" s="43"/>
      <c r="C39" s="44"/>
      <c r="I39" s="43"/>
      <c r="J39" s="44"/>
      <c r="L39" s="43"/>
      <c r="M39" s="44"/>
    </row>
    <row r="40" spans="2:13">
      <c r="B40" s="35" t="s">
        <v>33</v>
      </c>
      <c r="C40" s="34">
        <f>C31+C32</f>
        <v>245874.56</v>
      </c>
      <c r="I40" s="35" t="s">
        <v>33</v>
      </c>
      <c r="J40" s="34">
        <f>J31+J32</f>
        <v>245874.56</v>
      </c>
      <c r="L40" s="35" t="s">
        <v>33</v>
      </c>
      <c r="M40" s="34">
        <f>M31+M32</f>
        <v>245874.56</v>
      </c>
    </row>
    <row r="41" spans="2:13">
      <c r="B41" s="35" t="s">
        <v>34</v>
      </c>
      <c r="C41" s="34">
        <f ca="1">C35+C37</f>
        <v>265394.65602628188</v>
      </c>
      <c r="I41" s="35" t="s">
        <v>34</v>
      </c>
      <c r="J41" s="34">
        <f ca="1">J35+J37</f>
        <v>264574.81199999998</v>
      </c>
      <c r="L41" s="35" t="s">
        <v>34</v>
      </c>
      <c r="M41" s="34">
        <f ca="1">M35+M37</f>
        <v>265394.65603340289</v>
      </c>
    </row>
    <row r="42" spans="2:13" ht="15" thickBot="1">
      <c r="B42" s="41" t="s">
        <v>35</v>
      </c>
      <c r="C42" s="38">
        <f ca="1">C40-C41</f>
        <v>-19520.096026281884</v>
      </c>
      <c r="I42" s="41" t="s">
        <v>35</v>
      </c>
      <c r="J42" s="38">
        <f ca="1">J40-J41</f>
        <v>-18700.251999999979</v>
      </c>
      <c r="L42" s="41" t="s">
        <v>35</v>
      </c>
      <c r="M42" s="38">
        <f ca="1">M40-M41</f>
        <v>-19520.096033402893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505-CA25-4A1D-ADEB-73B60490621C}">
  <dimension ref="B1:R44"/>
  <sheetViews>
    <sheetView topLeftCell="J28" workbookViewId="0">
      <selection activeCell="O6" sqref="O6"/>
    </sheetView>
  </sheetViews>
  <sheetFormatPr defaultRowHeight="14.5"/>
  <cols>
    <col min="2" max="2" width="27.36328125" bestFit="1" customWidth="1"/>
  </cols>
  <sheetData>
    <row r="1" spans="2:18" ht="15" thickBot="1"/>
    <row r="2" spans="2:18" ht="16" thickTop="1">
      <c r="B2" s="45"/>
      <c r="C2" s="46"/>
      <c r="D2" s="46"/>
      <c r="E2" s="47" t="s">
        <v>38</v>
      </c>
      <c r="F2" s="47"/>
      <c r="G2" s="47"/>
      <c r="H2" s="47"/>
      <c r="I2" s="47"/>
      <c r="J2" s="47"/>
      <c r="K2" s="47"/>
      <c r="L2" s="47"/>
      <c r="M2" s="48"/>
      <c r="N2" s="49" t="s">
        <v>39</v>
      </c>
      <c r="O2" s="50"/>
      <c r="P2" s="45"/>
      <c r="Q2" s="51" t="s">
        <v>40</v>
      </c>
      <c r="R2" s="52"/>
    </row>
    <row r="3" spans="2:18" ht="15.5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6"/>
      <c r="N3" s="57"/>
      <c r="O3" s="58"/>
      <c r="P3" s="53"/>
      <c r="Q3" s="54"/>
      <c r="R3" s="56"/>
    </row>
    <row r="4" spans="2:18" ht="15.5">
      <c r="B4" s="59" t="s">
        <v>41</v>
      </c>
      <c r="C4" s="54"/>
      <c r="D4" s="54"/>
      <c r="E4" s="190">
        <v>1999</v>
      </c>
      <c r="F4" s="190"/>
      <c r="G4" s="60"/>
      <c r="H4" s="190">
        <v>2000</v>
      </c>
      <c r="I4" s="190"/>
      <c r="J4" s="60"/>
      <c r="K4" s="190">
        <v>2001</v>
      </c>
      <c r="L4" s="190"/>
      <c r="M4" s="61"/>
      <c r="N4" s="191" t="s">
        <v>42</v>
      </c>
      <c r="O4" s="192"/>
      <c r="P4" s="62">
        <v>2002</v>
      </c>
      <c r="Q4" s="63">
        <v>2003</v>
      </c>
      <c r="R4" s="64">
        <v>2004</v>
      </c>
    </row>
    <row r="5" spans="2:18" ht="15.5">
      <c r="B5" s="65" t="s">
        <v>43</v>
      </c>
      <c r="C5" s="54"/>
      <c r="D5" s="54"/>
      <c r="E5" s="66">
        <v>303.7</v>
      </c>
      <c r="F5" s="67"/>
      <c r="G5" s="54"/>
      <c r="H5" s="66">
        <v>330.1</v>
      </c>
      <c r="I5" s="67"/>
      <c r="J5" s="54"/>
      <c r="K5" s="66">
        <v>374.1</v>
      </c>
      <c r="L5" s="67"/>
      <c r="M5" s="56"/>
      <c r="N5" s="68" t="s">
        <v>44</v>
      </c>
      <c r="O5" s="69">
        <f>'Sensitivity Scenario Analysis'!B1</f>
        <v>0.13</v>
      </c>
      <c r="P5" s="70">
        <f>K5*(1+O5)</f>
        <v>422.733</v>
      </c>
      <c r="Q5" s="71">
        <f>P5*(1+O5)</f>
        <v>477.68828999999994</v>
      </c>
      <c r="R5" s="72">
        <f>Q5*(1+O5)</f>
        <v>539.7877676999999</v>
      </c>
    </row>
    <row r="6" spans="2:18" ht="15.5">
      <c r="B6" s="65" t="s">
        <v>45</v>
      </c>
      <c r="C6" s="54"/>
      <c r="D6" s="54"/>
      <c r="E6" s="66">
        <v>127.7</v>
      </c>
      <c r="F6" s="67">
        <f t="shared" ref="F6:F11" si="0">E6/$E$5</f>
        <v>0.4204807375699704</v>
      </c>
      <c r="G6" s="54"/>
      <c r="H6" s="66">
        <v>130.9</v>
      </c>
      <c r="I6" s="67">
        <f t="shared" ref="I6:I11" si="1">H6/$H$5</f>
        <v>0.39654650106028477</v>
      </c>
      <c r="J6" s="54"/>
      <c r="K6" s="66">
        <v>149</v>
      </c>
      <c r="L6" s="67">
        <f t="shared" ref="L6:L11" si="2">K6/$K$5</f>
        <v>0.39828922747928358</v>
      </c>
      <c r="M6" s="56"/>
      <c r="N6" s="68" t="s">
        <v>46</v>
      </c>
      <c r="O6" s="69">
        <f>'Sensitivity Scenario Analysis'!B2</f>
        <v>0.4</v>
      </c>
      <c r="P6" s="73">
        <f>$O$6*P5</f>
        <v>169.09320000000002</v>
      </c>
      <c r="Q6" s="73">
        <f t="shared" ref="Q6:R6" si="3">$O$6*Q5</f>
        <v>191.07531599999999</v>
      </c>
      <c r="R6" s="73">
        <f t="shared" si="3"/>
        <v>215.91510707999998</v>
      </c>
    </row>
    <row r="7" spans="2:18" ht="15.5">
      <c r="B7" s="65" t="s">
        <v>47</v>
      </c>
      <c r="C7" s="54"/>
      <c r="D7" s="54"/>
      <c r="E7" s="74">
        <f>+E5-E6</f>
        <v>176</v>
      </c>
      <c r="F7" s="75"/>
      <c r="G7" s="55"/>
      <c r="H7" s="74">
        <f>+H5-H6</f>
        <v>199.20000000000002</v>
      </c>
      <c r="I7" s="75"/>
      <c r="J7" s="55"/>
      <c r="K7" s="74">
        <f>+K5-K6</f>
        <v>225.10000000000002</v>
      </c>
      <c r="L7" s="75"/>
      <c r="M7" s="56"/>
      <c r="N7" s="57"/>
      <c r="O7" s="69"/>
      <c r="P7" s="76">
        <f>P5-P6</f>
        <v>253.63979999999998</v>
      </c>
      <c r="Q7" s="76">
        <f t="shared" ref="Q7:R7" si="4">Q5-Q6</f>
        <v>286.61297399999995</v>
      </c>
      <c r="R7" s="76">
        <f t="shared" si="4"/>
        <v>323.87266061999992</v>
      </c>
    </row>
    <row r="8" spans="2:18" ht="15.5">
      <c r="B8" s="65" t="s">
        <v>48</v>
      </c>
      <c r="C8" s="54"/>
      <c r="D8" s="54"/>
      <c r="E8" s="74"/>
      <c r="F8" s="75"/>
      <c r="G8" s="55"/>
      <c r="H8" s="74"/>
      <c r="I8" s="75"/>
      <c r="J8" s="55"/>
      <c r="K8" s="74"/>
      <c r="L8" s="75"/>
      <c r="M8" s="56"/>
      <c r="N8" s="57"/>
      <c r="O8" s="69"/>
      <c r="P8" s="76"/>
      <c r="Q8" s="77"/>
      <c r="R8" s="78"/>
    </row>
    <row r="9" spans="2:18" ht="15.5">
      <c r="B9" s="79" t="s">
        <v>49</v>
      </c>
      <c r="C9" s="54"/>
      <c r="D9" s="54"/>
      <c r="E9" s="80">
        <v>151.4</v>
      </c>
      <c r="F9" s="67">
        <f t="shared" si="0"/>
        <v>0.49851827461310505</v>
      </c>
      <c r="G9" s="54"/>
      <c r="H9" s="66">
        <v>166.2</v>
      </c>
      <c r="I9" s="67">
        <f t="shared" si="1"/>
        <v>0.5034837927900635</v>
      </c>
      <c r="J9" s="54"/>
      <c r="K9" s="66">
        <v>195.7</v>
      </c>
      <c r="L9" s="67">
        <f t="shared" si="2"/>
        <v>0.5231221598503073</v>
      </c>
      <c r="M9" s="56"/>
      <c r="N9" s="68" t="s">
        <v>46</v>
      </c>
      <c r="O9" s="69">
        <v>0.52</v>
      </c>
      <c r="P9" s="73">
        <f>P5*O9</f>
        <v>219.82116000000002</v>
      </c>
      <c r="Q9" s="81">
        <f>Q5*O9</f>
        <v>248.39791079999998</v>
      </c>
      <c r="R9" s="82">
        <f>R5*O9</f>
        <v>280.68963920399995</v>
      </c>
    </row>
    <row r="10" spans="2:18" ht="15.5">
      <c r="B10" s="79" t="s">
        <v>50</v>
      </c>
      <c r="C10" s="54"/>
      <c r="D10" s="54"/>
      <c r="E10" s="80">
        <v>4.5</v>
      </c>
      <c r="F10" s="67">
        <f t="shared" si="0"/>
        <v>1.4817253868949621E-2</v>
      </c>
      <c r="G10" s="54"/>
      <c r="H10" s="66">
        <v>0</v>
      </c>
      <c r="I10" s="67">
        <f t="shared" si="1"/>
        <v>0</v>
      </c>
      <c r="J10" s="54"/>
      <c r="K10" s="66">
        <v>11.2</v>
      </c>
      <c r="L10" s="67">
        <f t="shared" si="2"/>
        <v>2.9938519112536751E-2</v>
      </c>
      <c r="M10" s="56"/>
      <c r="N10" s="68" t="s">
        <v>46</v>
      </c>
      <c r="O10" s="69">
        <v>0</v>
      </c>
      <c r="P10" s="73">
        <v>0</v>
      </c>
      <c r="Q10" s="81">
        <v>0</v>
      </c>
      <c r="R10" s="82">
        <v>0</v>
      </c>
    </row>
    <row r="11" spans="2:18" ht="15.5">
      <c r="B11" s="65" t="s">
        <v>51</v>
      </c>
      <c r="C11" s="54"/>
      <c r="D11" s="54"/>
      <c r="E11" s="80">
        <v>16.600000000000001</v>
      </c>
      <c r="F11" s="67">
        <f t="shared" si="0"/>
        <v>5.4659203161014164E-2</v>
      </c>
      <c r="G11" s="54"/>
      <c r="H11" s="66">
        <v>2.7</v>
      </c>
      <c r="I11" s="67">
        <f t="shared" si="1"/>
        <v>8.1793395940624059E-3</v>
      </c>
      <c r="J11" s="54"/>
      <c r="K11" s="66">
        <v>1</v>
      </c>
      <c r="L11" s="67">
        <f t="shared" si="2"/>
        <v>2.6730820636193531E-3</v>
      </c>
      <c r="M11" s="56"/>
      <c r="N11" s="68" t="s">
        <v>46</v>
      </c>
      <c r="O11" s="69">
        <v>0</v>
      </c>
      <c r="P11" s="73">
        <v>0</v>
      </c>
      <c r="Q11" s="81">
        <v>0</v>
      </c>
      <c r="R11" s="82">
        <v>0</v>
      </c>
    </row>
    <row r="12" spans="2:18" ht="15.5">
      <c r="B12" s="83" t="s">
        <v>52</v>
      </c>
      <c r="C12" s="54"/>
      <c r="D12" s="54"/>
      <c r="E12" s="80">
        <v>0.1</v>
      </c>
      <c r="F12" s="67"/>
      <c r="G12" s="54"/>
      <c r="H12" s="66">
        <v>1.5</v>
      </c>
      <c r="I12" s="67"/>
      <c r="J12" s="54"/>
      <c r="K12" s="66">
        <v>4.4000000000000004</v>
      </c>
      <c r="L12" s="67"/>
      <c r="M12" s="56"/>
      <c r="N12" s="68" t="s">
        <v>53</v>
      </c>
      <c r="O12" s="69">
        <v>0.06</v>
      </c>
      <c r="P12" s="73">
        <f>($O$12*(P36+P37))-($O$12*P23)</f>
        <v>4.3981663199999979</v>
      </c>
      <c r="Q12" s="73">
        <f t="shared" ref="Q12:R12" si="5">($O$12*(Q36+Q37))-($O$12*Q23)</f>
        <v>5.2620679416000025</v>
      </c>
      <c r="R12" s="73">
        <f t="shared" si="5"/>
        <v>6.1654367740079961</v>
      </c>
    </row>
    <row r="13" spans="2:18" ht="15.5">
      <c r="B13" s="65" t="s">
        <v>54</v>
      </c>
      <c r="C13" s="54"/>
      <c r="D13" s="54"/>
      <c r="E13" s="84">
        <f>+E7-E9-E10-E11-E12</f>
        <v>3.3999999999999928</v>
      </c>
      <c r="F13" s="75"/>
      <c r="G13" s="55"/>
      <c r="H13" s="84">
        <f>+H7-H9-H10-H11-H12</f>
        <v>28.800000000000029</v>
      </c>
      <c r="I13" s="75"/>
      <c r="J13" s="55"/>
      <c r="K13" s="84">
        <f>+K7-K9-K10-K11-K12</f>
        <v>12.800000000000034</v>
      </c>
      <c r="L13" s="75"/>
      <c r="M13" s="56"/>
      <c r="N13" s="57"/>
      <c r="O13" s="69"/>
      <c r="P13" s="76">
        <v>29.4</v>
      </c>
      <c r="Q13" s="77">
        <v>33</v>
      </c>
      <c r="R13" s="78">
        <v>37</v>
      </c>
    </row>
    <row r="14" spans="2:18" ht="16" thickBot="1">
      <c r="B14" s="65" t="s">
        <v>55</v>
      </c>
      <c r="C14" s="54"/>
      <c r="D14" s="54"/>
      <c r="E14" s="85">
        <v>8</v>
      </c>
      <c r="F14" s="86"/>
      <c r="G14" s="87"/>
      <c r="H14" s="88">
        <v>10.4</v>
      </c>
      <c r="I14" s="86"/>
      <c r="J14" s="87"/>
      <c r="K14" s="88">
        <v>3.5</v>
      </c>
      <c r="L14" s="86"/>
      <c r="M14" s="89"/>
      <c r="N14" s="68" t="s">
        <v>56</v>
      </c>
      <c r="O14" s="69">
        <v>0.3</v>
      </c>
      <c r="P14" s="90">
        <f>P13*O14</f>
        <v>8.8199999999999985</v>
      </c>
      <c r="Q14" s="91">
        <f>Q13*O14</f>
        <v>9.9</v>
      </c>
      <c r="R14" s="92">
        <f>R13*O14</f>
        <v>11.1</v>
      </c>
    </row>
    <row r="15" spans="2:18" ht="16" thickTop="1">
      <c r="B15" s="65" t="s">
        <v>57</v>
      </c>
      <c r="C15" s="54"/>
      <c r="D15" s="54"/>
      <c r="E15" s="84">
        <f>+E13-E14</f>
        <v>-4.6000000000000068</v>
      </c>
      <c r="F15" s="75"/>
      <c r="G15" s="55"/>
      <c r="H15" s="84">
        <f>+H13-H14</f>
        <v>18.400000000000027</v>
      </c>
      <c r="I15" s="75"/>
      <c r="J15" s="55"/>
      <c r="K15" s="84">
        <f>+K13-K14</f>
        <v>9.3000000000000345</v>
      </c>
      <c r="L15" s="75"/>
      <c r="M15" s="56"/>
      <c r="N15" s="57"/>
      <c r="O15" s="69"/>
      <c r="P15" s="93">
        <f>P13-P14</f>
        <v>20.58</v>
      </c>
      <c r="Q15" s="94">
        <f>Q13-Q14</f>
        <v>23.1</v>
      </c>
      <c r="R15" s="95">
        <f>R13-R14</f>
        <v>25.9</v>
      </c>
    </row>
    <row r="16" spans="2:18" ht="15.5">
      <c r="B16" s="53"/>
      <c r="C16" s="54"/>
      <c r="D16" s="54"/>
      <c r="E16" s="80"/>
      <c r="F16" s="67"/>
      <c r="G16" s="54"/>
      <c r="H16" s="66"/>
      <c r="I16" s="67"/>
      <c r="J16" s="54"/>
      <c r="K16" s="66"/>
      <c r="L16" s="67"/>
      <c r="M16" s="56"/>
      <c r="N16" s="57"/>
      <c r="O16" s="69"/>
      <c r="P16" s="96"/>
      <c r="Q16" s="80"/>
      <c r="R16" s="97"/>
    </row>
    <row r="17" spans="2:18" ht="15.5">
      <c r="B17" s="65" t="s">
        <v>58</v>
      </c>
      <c r="C17" s="54"/>
      <c r="D17" s="54"/>
      <c r="E17" s="98">
        <v>10.9</v>
      </c>
      <c r="F17" s="99"/>
      <c r="G17" s="100"/>
      <c r="H17" s="101">
        <v>10.9</v>
      </c>
      <c r="I17" s="99"/>
      <c r="J17" s="100"/>
      <c r="K17" s="101">
        <v>10.9</v>
      </c>
      <c r="L17" s="99"/>
      <c r="M17" s="61"/>
      <c r="N17" s="68" t="s">
        <v>59</v>
      </c>
      <c r="O17" s="102">
        <v>10.9</v>
      </c>
      <c r="P17" s="103">
        <v>10.9</v>
      </c>
      <c r="Q17" s="104">
        <v>10.9</v>
      </c>
      <c r="R17" s="105">
        <v>10.9</v>
      </c>
    </row>
    <row r="18" spans="2:18" ht="15.5">
      <c r="B18" s="65" t="s">
        <v>60</v>
      </c>
      <c r="C18" s="54"/>
      <c r="D18" s="54"/>
      <c r="E18" s="80">
        <f>+E15-E17</f>
        <v>-15.500000000000007</v>
      </c>
      <c r="F18" s="67"/>
      <c r="G18" s="54"/>
      <c r="H18" s="80">
        <f>+H15-H17</f>
        <v>7.5000000000000266</v>
      </c>
      <c r="I18" s="67"/>
      <c r="J18" s="54"/>
      <c r="K18" s="80">
        <f>+K15-K17</f>
        <v>-1.5999999999999659</v>
      </c>
      <c r="L18" s="67"/>
      <c r="M18" s="56"/>
      <c r="N18" s="57"/>
      <c r="O18" s="69"/>
      <c r="P18" s="106">
        <v>9.6999999999999993</v>
      </c>
      <c r="Q18" s="107">
        <v>12.2</v>
      </c>
      <c r="R18" s="97">
        <v>15</v>
      </c>
    </row>
    <row r="19" spans="2:18" ht="16" thickBot="1">
      <c r="B19" s="108"/>
      <c r="C19" s="109"/>
      <c r="D19" s="109"/>
      <c r="E19" s="110"/>
      <c r="F19" s="111"/>
      <c r="G19" s="109"/>
      <c r="H19" s="110"/>
      <c r="I19" s="111"/>
      <c r="J19" s="109"/>
      <c r="K19" s="110"/>
      <c r="L19" s="111"/>
      <c r="M19" s="112"/>
      <c r="N19" s="57"/>
      <c r="O19" s="69"/>
      <c r="P19" s="113"/>
      <c r="Q19" s="114"/>
      <c r="R19" s="115"/>
    </row>
    <row r="20" spans="2:18" ht="15.5">
      <c r="B20" s="45"/>
      <c r="C20" s="46"/>
      <c r="D20" s="46"/>
      <c r="E20" s="116"/>
      <c r="F20" s="117"/>
      <c r="G20" s="46"/>
      <c r="H20" s="116"/>
      <c r="I20" s="117"/>
      <c r="J20" s="46"/>
      <c r="K20" s="116"/>
      <c r="L20" s="117"/>
      <c r="M20" s="52"/>
      <c r="N20" s="57"/>
      <c r="O20" s="69"/>
      <c r="P20" s="118"/>
      <c r="Q20" s="119"/>
      <c r="R20" s="120"/>
    </row>
    <row r="21" spans="2:18" ht="15.5">
      <c r="B21" s="59" t="s">
        <v>61</v>
      </c>
      <c r="C21" s="54"/>
      <c r="D21" s="54"/>
      <c r="E21" s="121"/>
      <c r="F21" s="67"/>
      <c r="G21" s="54"/>
      <c r="H21" s="121"/>
      <c r="I21" s="67"/>
      <c r="J21" s="54"/>
      <c r="K21" s="121"/>
      <c r="L21" s="67"/>
      <c r="M21" s="56"/>
      <c r="N21" s="57"/>
      <c r="O21" s="69"/>
      <c r="P21" s="118"/>
      <c r="Q21" s="119"/>
      <c r="R21" s="120"/>
    </row>
    <row r="22" spans="2:18" ht="15.5">
      <c r="B22" s="65" t="s">
        <v>62</v>
      </c>
      <c r="C22" s="54"/>
      <c r="D22" s="54"/>
      <c r="E22" s="66">
        <v>34</v>
      </c>
      <c r="F22" s="67">
        <f t="shared" ref="F22:F29" si="6">E22/$E$5</f>
        <v>0.11195258478761937</v>
      </c>
      <c r="G22" s="54"/>
      <c r="H22" s="66">
        <v>19.2</v>
      </c>
      <c r="I22" s="67">
        <f t="shared" ref="I22:I29" si="7">H22/$H$5</f>
        <v>5.8164192668888212E-2</v>
      </c>
      <c r="J22" s="54"/>
      <c r="K22" s="66">
        <v>13.7</v>
      </c>
      <c r="L22" s="67">
        <f t="shared" ref="L22:L29" si="8">K22/$K$5</f>
        <v>3.662122427158513E-2</v>
      </c>
      <c r="M22" s="56"/>
      <c r="N22" s="68" t="s">
        <v>46</v>
      </c>
      <c r="O22" s="69">
        <v>0.04</v>
      </c>
      <c r="P22" s="96">
        <f>P5*O22</f>
        <v>16.909320000000001</v>
      </c>
      <c r="Q22" s="122">
        <f>Q5*O22</f>
        <v>19.107531599999998</v>
      </c>
      <c r="R22" s="97">
        <f>R5*O22</f>
        <v>21.591510707999998</v>
      </c>
    </row>
    <row r="23" spans="2:18" ht="15.5">
      <c r="B23" s="83" t="s">
        <v>63</v>
      </c>
      <c r="C23" s="54"/>
      <c r="D23" s="54"/>
      <c r="E23" s="66"/>
      <c r="F23" s="67"/>
      <c r="G23" s="54"/>
      <c r="H23" s="66"/>
      <c r="I23" s="67"/>
      <c r="J23" s="54"/>
      <c r="K23" s="66"/>
      <c r="L23" s="67"/>
      <c r="M23" s="56"/>
      <c r="N23" s="68" t="s">
        <v>64</v>
      </c>
      <c r="O23" s="69"/>
      <c r="P23" s="96">
        <f>IF(P44&lt;0,-P44,0)</f>
        <v>0</v>
      </c>
      <c r="Q23" s="122">
        <v>0</v>
      </c>
      <c r="R23" s="97">
        <v>0</v>
      </c>
    </row>
    <row r="24" spans="2:18" ht="15.5">
      <c r="B24" s="65" t="s">
        <v>65</v>
      </c>
      <c r="C24" s="54"/>
      <c r="D24" s="54"/>
      <c r="E24" s="66">
        <v>27.8</v>
      </c>
      <c r="F24" s="67">
        <f t="shared" si="6"/>
        <v>9.1537701679288777E-2</v>
      </c>
      <c r="G24" s="54"/>
      <c r="H24" s="66">
        <v>30.3</v>
      </c>
      <c r="I24" s="67">
        <f t="shared" si="7"/>
        <v>9.1790366555589212E-2</v>
      </c>
      <c r="J24" s="54"/>
      <c r="K24" s="66">
        <v>30.3</v>
      </c>
      <c r="L24" s="67">
        <f t="shared" si="8"/>
        <v>8.0994386527666398E-2</v>
      </c>
      <c r="M24" s="56"/>
      <c r="N24" s="68" t="s">
        <v>46</v>
      </c>
      <c r="O24" s="69">
        <v>0.08</v>
      </c>
      <c r="P24" s="96">
        <f>P5*O24</f>
        <v>33.818640000000002</v>
      </c>
      <c r="Q24" s="122">
        <f>Q5*O24</f>
        <v>38.215063199999996</v>
      </c>
      <c r="R24" s="97">
        <f>R5*O24</f>
        <v>43.183021415999995</v>
      </c>
    </row>
    <row r="25" spans="2:18" ht="15.5">
      <c r="B25" s="65" t="s">
        <v>66</v>
      </c>
      <c r="C25" s="54"/>
      <c r="D25" s="54"/>
      <c r="E25" s="66">
        <v>38.6</v>
      </c>
      <c r="F25" s="67">
        <f t="shared" si="6"/>
        <v>0.12709911096476786</v>
      </c>
      <c r="G25" s="54"/>
      <c r="H25" s="66">
        <v>44.7</v>
      </c>
      <c r="I25" s="67">
        <f t="shared" si="7"/>
        <v>0.13541351105725538</v>
      </c>
      <c r="J25" s="54"/>
      <c r="K25" s="66">
        <v>51.3</v>
      </c>
      <c r="L25" s="67">
        <f t="shared" si="8"/>
        <v>0.1371291098636728</v>
      </c>
      <c r="M25" s="56"/>
      <c r="N25" s="68" t="s">
        <v>46</v>
      </c>
      <c r="O25" s="69">
        <v>0.13700000000000001</v>
      </c>
      <c r="P25" s="96">
        <f>P5*O25</f>
        <v>57.914421000000004</v>
      </c>
      <c r="Q25" s="122">
        <f>Q5*O25</f>
        <v>65.443295730000003</v>
      </c>
      <c r="R25" s="97">
        <f>R5*O25</f>
        <v>73.950924174899995</v>
      </c>
    </row>
    <row r="26" spans="2:18" ht="15.5">
      <c r="B26" s="65" t="s">
        <v>67</v>
      </c>
      <c r="C26" s="54"/>
      <c r="D26" s="54"/>
      <c r="E26" s="66">
        <v>12.5</v>
      </c>
      <c r="F26" s="67">
        <f t="shared" si="6"/>
        <v>4.115903852486006E-2</v>
      </c>
      <c r="G26" s="54"/>
      <c r="H26" s="66">
        <v>15.6</v>
      </c>
      <c r="I26" s="67">
        <f t="shared" si="7"/>
        <v>4.7258406543471673E-2</v>
      </c>
      <c r="J26" s="54"/>
      <c r="K26" s="66">
        <v>17.5</v>
      </c>
      <c r="L26" s="67">
        <f t="shared" si="8"/>
        <v>4.6778936113338679E-2</v>
      </c>
      <c r="M26" s="56"/>
      <c r="N26" s="68" t="s">
        <v>46</v>
      </c>
      <c r="O26" s="69">
        <v>4.7E-2</v>
      </c>
      <c r="P26" s="96">
        <f>P5*O26</f>
        <v>19.868451</v>
      </c>
      <c r="Q26" s="122">
        <f>Q5*O26</f>
        <v>22.451349629999996</v>
      </c>
      <c r="R26" s="97">
        <f>R5*O26</f>
        <v>25.370025081899996</v>
      </c>
    </row>
    <row r="27" spans="2:18" ht="15.5">
      <c r="B27" s="65" t="s">
        <v>68</v>
      </c>
      <c r="C27" s="54"/>
      <c r="D27" s="54"/>
      <c r="E27" s="66">
        <v>87.8</v>
      </c>
      <c r="F27" s="67">
        <f t="shared" si="6"/>
        <v>0.28910108659861705</v>
      </c>
      <c r="G27" s="54"/>
      <c r="H27" s="66">
        <v>104.7</v>
      </c>
      <c r="I27" s="67">
        <f t="shared" si="7"/>
        <v>0.31717661314753104</v>
      </c>
      <c r="J27" s="54"/>
      <c r="K27" s="66">
        <v>110.6</v>
      </c>
      <c r="L27" s="67">
        <f t="shared" si="8"/>
        <v>0.29564287623630042</v>
      </c>
      <c r="M27" s="56"/>
      <c r="N27" s="68" t="s">
        <v>46</v>
      </c>
      <c r="O27" s="69">
        <v>0.3</v>
      </c>
      <c r="P27" s="96">
        <f>P5*O27</f>
        <v>126.81989999999999</v>
      </c>
      <c r="Q27" s="122">
        <f>Q5*O27</f>
        <v>143.30648699999998</v>
      </c>
      <c r="R27" s="97">
        <f>R5*O27</f>
        <v>161.93633030999996</v>
      </c>
    </row>
    <row r="28" spans="2:18" ht="16" thickBot="1">
      <c r="B28" s="65" t="s">
        <v>69</v>
      </c>
      <c r="C28" s="54"/>
      <c r="D28" s="54"/>
      <c r="E28" s="88">
        <v>0</v>
      </c>
      <c r="F28" s="86">
        <f t="shared" si="6"/>
        <v>0</v>
      </c>
      <c r="G28" s="87"/>
      <c r="H28" s="88">
        <v>6</v>
      </c>
      <c r="I28" s="86">
        <f t="shared" si="7"/>
        <v>1.8176310209027567E-2</v>
      </c>
      <c r="J28" s="87"/>
      <c r="K28" s="88">
        <v>6.7</v>
      </c>
      <c r="L28" s="86">
        <f t="shared" si="8"/>
        <v>1.7909649826249666E-2</v>
      </c>
      <c r="M28" s="89"/>
      <c r="N28" s="68" t="s">
        <v>46</v>
      </c>
      <c r="O28" s="69">
        <v>1.7999999999999999E-2</v>
      </c>
      <c r="P28" s="123">
        <f>P5*O28</f>
        <v>7.6091939999999996</v>
      </c>
      <c r="Q28" s="124">
        <f>Q5*O28</f>
        <v>8.5983892199999978</v>
      </c>
      <c r="R28" s="125">
        <f>R5*O28</f>
        <v>9.716179818599997</v>
      </c>
    </row>
    <row r="29" spans="2:18" ht="16" thickTop="1">
      <c r="B29" s="65" t="s">
        <v>70</v>
      </c>
      <c r="C29" s="54"/>
      <c r="D29" s="54"/>
      <c r="E29" s="74">
        <f>SUM(E20:E28)</f>
        <v>200.7</v>
      </c>
      <c r="F29" s="75">
        <f t="shared" si="6"/>
        <v>0.66084952255515306</v>
      </c>
      <c r="G29" s="55"/>
      <c r="H29" s="74">
        <f>SUM(H20:H28)</f>
        <v>220.5</v>
      </c>
      <c r="I29" s="75">
        <f t="shared" si="7"/>
        <v>0.66797940018176305</v>
      </c>
      <c r="J29" s="55"/>
      <c r="K29" s="74">
        <f>SUM(K20:K28)</f>
        <v>230.09999999999997</v>
      </c>
      <c r="L29" s="75">
        <f t="shared" si="8"/>
        <v>0.61507618283881305</v>
      </c>
      <c r="M29" s="56"/>
      <c r="N29" s="57"/>
      <c r="O29" s="69"/>
      <c r="P29" s="93">
        <f>SUM(P22:P28)</f>
        <v>262.93992599999996</v>
      </c>
      <c r="Q29" s="93">
        <f>SUM(Q22:Q28)</f>
        <v>297.12211637999997</v>
      </c>
      <c r="R29" s="93">
        <f t="shared" ref="R29" si="9">SUM(R22:R28)</f>
        <v>335.74799150939992</v>
      </c>
    </row>
    <row r="30" spans="2:18" ht="15.5">
      <c r="B30" s="53"/>
      <c r="C30" s="54"/>
      <c r="D30" s="54"/>
      <c r="E30" s="66"/>
      <c r="F30" s="67"/>
      <c r="G30" s="54"/>
      <c r="H30" s="66"/>
      <c r="I30" s="67"/>
      <c r="J30" s="54"/>
      <c r="K30" s="66"/>
      <c r="L30" s="67"/>
      <c r="M30" s="56"/>
      <c r="N30" s="57"/>
      <c r="O30" s="69"/>
      <c r="P30" s="126"/>
      <c r="Q30" s="81"/>
      <c r="R30" s="97"/>
    </row>
    <row r="31" spans="2:18" ht="15.5">
      <c r="B31" s="65" t="s">
        <v>71</v>
      </c>
      <c r="C31" s="54"/>
      <c r="D31" s="54"/>
      <c r="E31" s="80">
        <v>13</v>
      </c>
      <c r="F31" s="67">
        <f t="shared" ref="F31:F38" si="10">E31/$E$5</f>
        <v>4.2805400065854461E-2</v>
      </c>
      <c r="G31" s="54"/>
      <c r="H31" s="80">
        <v>20.5</v>
      </c>
      <c r="I31" s="67">
        <f t="shared" ref="I31:I38" si="11">H31/$H$5</f>
        <v>6.2102393214177515E-2</v>
      </c>
      <c r="J31" s="54"/>
      <c r="K31" s="80">
        <v>10.7</v>
      </c>
      <c r="L31" s="67">
        <f t="shared" ref="L31:L38" si="12">K31/$K$5</f>
        <v>2.8601978080727074E-2</v>
      </c>
      <c r="M31" s="56"/>
      <c r="N31" s="68" t="s">
        <v>46</v>
      </c>
      <c r="O31" s="69">
        <v>0.04</v>
      </c>
      <c r="P31" s="96">
        <f>P5*O31</f>
        <v>16.909320000000001</v>
      </c>
      <c r="Q31" s="96">
        <f>Q5*O31</f>
        <v>19.107531599999998</v>
      </c>
      <c r="R31" s="122">
        <f>R5*O31</f>
        <v>21.591510707999998</v>
      </c>
    </row>
    <row r="32" spans="2:18" ht="15.5">
      <c r="B32" s="65" t="s">
        <v>72</v>
      </c>
      <c r="C32" s="54"/>
      <c r="D32" s="54"/>
      <c r="E32" s="80">
        <v>11.3</v>
      </c>
      <c r="F32" s="67">
        <f t="shared" si="10"/>
        <v>3.7207770826473495E-2</v>
      </c>
      <c r="G32" s="54"/>
      <c r="H32" s="80">
        <v>11.7</v>
      </c>
      <c r="I32" s="67">
        <f t="shared" si="11"/>
        <v>3.5443804907603751E-2</v>
      </c>
      <c r="J32" s="54"/>
      <c r="K32" s="80">
        <v>7.1</v>
      </c>
      <c r="L32" s="67">
        <f t="shared" si="12"/>
        <v>1.8978882651697403E-2</v>
      </c>
      <c r="M32" s="56"/>
      <c r="N32" s="68" t="s">
        <v>46</v>
      </c>
      <c r="O32" s="69">
        <v>0.02</v>
      </c>
      <c r="P32" s="96">
        <f>P5*O32</f>
        <v>8.4546600000000005</v>
      </c>
      <c r="Q32" s="96">
        <f>Q5*O32</f>
        <v>9.553765799999999</v>
      </c>
      <c r="R32" s="122">
        <f>R5*O32</f>
        <v>10.795755353999999</v>
      </c>
    </row>
    <row r="33" spans="2:18" ht="15.5">
      <c r="B33" s="65" t="s">
        <v>73</v>
      </c>
      <c r="C33" s="54"/>
      <c r="D33" s="54"/>
      <c r="E33" s="80">
        <v>10.8</v>
      </c>
      <c r="F33" s="67">
        <f t="shared" si="10"/>
        <v>3.5561409285479094E-2</v>
      </c>
      <c r="G33" s="54"/>
      <c r="H33" s="80">
        <v>15.6</v>
      </c>
      <c r="I33" s="67">
        <f t="shared" si="11"/>
        <v>4.7258406543471673E-2</v>
      </c>
      <c r="J33" s="54"/>
      <c r="K33" s="80">
        <v>11.5</v>
      </c>
      <c r="L33" s="67">
        <f t="shared" si="12"/>
        <v>3.074044373162256E-2</v>
      </c>
      <c r="M33" s="56"/>
      <c r="N33" s="68" t="s">
        <v>46</v>
      </c>
      <c r="O33" s="69">
        <v>3.5000000000000003E-2</v>
      </c>
      <c r="P33" s="96">
        <f>P5*O33</f>
        <v>14.795655000000002</v>
      </c>
      <c r="Q33" s="96">
        <f>Q5*O33</f>
        <v>16.71909015</v>
      </c>
      <c r="R33" s="122">
        <f>R5*O33</f>
        <v>18.892571869499999</v>
      </c>
    </row>
    <row r="34" spans="2:18" ht="15.5">
      <c r="B34" s="127" t="s">
        <v>74</v>
      </c>
      <c r="C34" s="54"/>
      <c r="D34" s="54"/>
      <c r="E34" s="80">
        <v>0</v>
      </c>
      <c r="F34" s="67">
        <f t="shared" si="10"/>
        <v>0</v>
      </c>
      <c r="G34" s="54"/>
      <c r="H34" s="80">
        <v>0.3</v>
      </c>
      <c r="I34" s="67">
        <f t="shared" si="11"/>
        <v>9.0881551045137831E-4</v>
      </c>
      <c r="J34" s="54"/>
      <c r="K34" s="80">
        <v>0.7</v>
      </c>
      <c r="L34" s="67">
        <f t="shared" si="12"/>
        <v>1.8711574445335469E-3</v>
      </c>
      <c r="M34" s="56"/>
      <c r="N34" s="68" t="s">
        <v>46</v>
      </c>
      <c r="O34" s="69">
        <v>2E-3</v>
      </c>
      <c r="P34" s="96">
        <f>P5*O34</f>
        <v>0.84546600000000005</v>
      </c>
      <c r="Q34" s="96">
        <f>Q5*O34</f>
        <v>0.95537657999999992</v>
      </c>
      <c r="R34" s="122">
        <f>R5*O34</f>
        <v>1.0795755353999998</v>
      </c>
    </row>
    <row r="35" spans="2:18" ht="15.5">
      <c r="B35" s="65" t="s">
        <v>75</v>
      </c>
      <c r="C35" s="54"/>
      <c r="D35" s="54"/>
      <c r="E35" s="80">
        <v>21.6</v>
      </c>
      <c r="F35" s="67">
        <f t="shared" si="10"/>
        <v>7.1122818570958188E-2</v>
      </c>
      <c r="G35" s="54"/>
      <c r="H35" s="80">
        <v>13.3</v>
      </c>
      <c r="I35" s="67">
        <f t="shared" si="11"/>
        <v>4.0290820963344444E-2</v>
      </c>
      <c r="J35" s="54"/>
      <c r="K35" s="80">
        <v>16.899999999999999</v>
      </c>
      <c r="L35" s="67">
        <f t="shared" si="12"/>
        <v>4.517508687516706E-2</v>
      </c>
      <c r="M35" s="56"/>
      <c r="N35" s="68" t="s">
        <v>46</v>
      </c>
      <c r="O35" s="69">
        <v>0.04</v>
      </c>
      <c r="P35" s="96">
        <f>P5*O35</f>
        <v>16.909320000000001</v>
      </c>
      <c r="Q35" s="96">
        <f>Q5*O35</f>
        <v>19.107531599999998</v>
      </c>
      <c r="R35" s="122">
        <f>R5*O35</f>
        <v>21.591510707999998</v>
      </c>
    </row>
    <row r="36" spans="2:18" ht="15.5">
      <c r="B36" s="83" t="s">
        <v>76</v>
      </c>
      <c r="C36" s="54"/>
      <c r="D36" s="54"/>
      <c r="E36" s="80">
        <v>28</v>
      </c>
      <c r="F36" s="67"/>
      <c r="G36" s="54"/>
      <c r="H36" s="80">
        <v>36.700000000000003</v>
      </c>
      <c r="I36" s="67"/>
      <c r="J36" s="54"/>
      <c r="K36" s="80">
        <v>61.2</v>
      </c>
      <c r="L36" s="67"/>
      <c r="M36" s="56"/>
      <c r="N36" s="68" t="s">
        <v>77</v>
      </c>
      <c r="O36" s="69"/>
      <c r="P36" s="73">
        <f>K36</f>
        <v>61.2</v>
      </c>
      <c r="Q36" s="81">
        <f>P36+P37</f>
        <v>73.302771999999962</v>
      </c>
      <c r="R36" s="97">
        <f>Q36+Q37</f>
        <v>87.701132360000045</v>
      </c>
    </row>
    <row r="37" spans="2:18" ht="15.5">
      <c r="B37" s="83" t="s">
        <v>78</v>
      </c>
      <c r="C37" s="54"/>
      <c r="D37" s="54"/>
      <c r="E37" s="80"/>
      <c r="F37" s="67"/>
      <c r="G37" s="54"/>
      <c r="H37" s="80"/>
      <c r="I37" s="67"/>
      <c r="J37" s="54"/>
      <c r="K37" s="80"/>
      <c r="L37" s="67"/>
      <c r="M37" s="56"/>
      <c r="N37" s="68" t="s">
        <v>64</v>
      </c>
      <c r="O37" s="69"/>
      <c r="P37" s="96">
        <f>IF(P44&gt;0,P44,0)</f>
        <v>12.102771999999959</v>
      </c>
      <c r="Q37" s="96">
        <f>IF(Q44&gt;0,Q44,0)</f>
        <v>14.398360360000083</v>
      </c>
      <c r="R37" s="96">
        <f>IF(R44&gt;0,R44,0)</f>
        <v>15.056147206799892</v>
      </c>
    </row>
    <row r="38" spans="2:18" ht="15.5">
      <c r="B38" s="65" t="s">
        <v>79</v>
      </c>
      <c r="C38" s="54"/>
      <c r="D38" s="54"/>
      <c r="E38" s="80">
        <v>1.7</v>
      </c>
      <c r="F38" s="67">
        <f t="shared" si="10"/>
        <v>5.597629239380968E-3</v>
      </c>
      <c r="G38" s="54"/>
      <c r="H38" s="80">
        <v>1</v>
      </c>
      <c r="I38" s="67">
        <f t="shared" si="11"/>
        <v>3.0293850348379276E-3</v>
      </c>
      <c r="J38" s="54"/>
      <c r="K38" s="80">
        <v>0.4</v>
      </c>
      <c r="L38" s="67">
        <f t="shared" si="12"/>
        <v>1.0692328254477412E-3</v>
      </c>
      <c r="M38" s="56"/>
      <c r="N38" s="68" t="s">
        <v>46</v>
      </c>
      <c r="O38" s="69">
        <v>1E-3</v>
      </c>
      <c r="P38" s="96">
        <f>P5*O38</f>
        <v>0.42273300000000003</v>
      </c>
      <c r="Q38" s="96">
        <f>Q5*O38</f>
        <v>0.47768828999999996</v>
      </c>
      <c r="R38" s="122">
        <f>R5*O38</f>
        <v>0.53978776769999992</v>
      </c>
    </row>
    <row r="39" spans="2:18" ht="16" thickBot="1">
      <c r="B39" s="83" t="s">
        <v>80</v>
      </c>
      <c r="C39" s="54"/>
      <c r="D39" s="54"/>
      <c r="E39" s="85">
        <v>114.3</v>
      </c>
      <c r="F39" s="86"/>
      <c r="G39" s="87"/>
      <c r="H39" s="85">
        <v>121.4</v>
      </c>
      <c r="I39" s="86"/>
      <c r="J39" s="87"/>
      <c r="K39" s="85">
        <v>121.6</v>
      </c>
      <c r="L39" s="86"/>
      <c r="M39" s="89"/>
      <c r="N39" s="57"/>
      <c r="O39" s="69"/>
      <c r="P39" s="123">
        <f>K39+P18</f>
        <v>131.29999999999998</v>
      </c>
      <c r="Q39" s="91">
        <f>P39+Q18</f>
        <v>143.49999999999997</v>
      </c>
      <c r="R39" s="125">
        <f>Q39+R18</f>
        <v>158.49999999999997</v>
      </c>
    </row>
    <row r="40" spans="2:18" ht="16.5" thickTop="1" thickBot="1">
      <c r="B40" s="128" t="s">
        <v>81</v>
      </c>
      <c r="C40" s="109"/>
      <c r="D40" s="109"/>
      <c r="E40" s="129">
        <f>SUM(E31:E39)</f>
        <v>200.7</v>
      </c>
      <c r="F40" s="130"/>
      <c r="G40" s="131"/>
      <c r="H40" s="129">
        <f>SUM(H31:H39)</f>
        <v>220.5</v>
      </c>
      <c r="I40" s="130"/>
      <c r="J40" s="131"/>
      <c r="K40" s="129">
        <f>SUM(K31:K39)</f>
        <v>230.1</v>
      </c>
      <c r="L40" s="130"/>
      <c r="M40" s="112"/>
      <c r="N40" s="132"/>
      <c r="O40" s="133"/>
      <c r="P40" s="134">
        <f>SUM(P31:P39)</f>
        <v>262.9399259999999</v>
      </c>
      <c r="Q40" s="135">
        <f>SUM(Q31:Q39)</f>
        <v>297.12211637999997</v>
      </c>
      <c r="R40" s="136">
        <f>SUM(R31:R39)</f>
        <v>335.74799150939992</v>
      </c>
    </row>
    <row r="41" spans="2:18" ht="16" thickBot="1">
      <c r="B41" s="54"/>
      <c r="C41" s="54"/>
      <c r="D41" s="54"/>
      <c r="E41" s="66"/>
      <c r="F41" s="54"/>
      <c r="G41" s="54"/>
      <c r="H41" s="121"/>
      <c r="I41" s="54"/>
      <c r="J41" s="54"/>
      <c r="K41" s="121"/>
      <c r="L41" s="54"/>
      <c r="M41" s="54"/>
      <c r="N41" s="54"/>
      <c r="O41" s="67"/>
      <c r="P41" s="137"/>
      <c r="Q41" s="137"/>
      <c r="R41" s="137"/>
    </row>
    <row r="42" spans="2:18" ht="15.5">
      <c r="B42" s="54"/>
      <c r="C42" s="54"/>
      <c r="D42" s="54"/>
      <c r="E42" s="54"/>
      <c r="F42" s="54"/>
      <c r="G42" s="54"/>
      <c r="H42" s="121"/>
      <c r="I42" s="54"/>
      <c r="J42" s="54"/>
      <c r="K42" s="121"/>
      <c r="L42" s="54"/>
      <c r="M42" s="54"/>
      <c r="N42" s="138" t="s">
        <v>82</v>
      </c>
      <c r="O42" s="117"/>
      <c r="P42" s="139">
        <f>SUM(P22,P24:P28)</f>
        <v>262.93992599999996</v>
      </c>
      <c r="Q42" s="139">
        <f>SUM(Q22,Q24:Q28)</f>
        <v>297.12211637999997</v>
      </c>
      <c r="R42" s="139">
        <f>SUM(R22,R24:R28)</f>
        <v>335.74799150939992</v>
      </c>
    </row>
    <row r="43" spans="2:18" ht="15.5">
      <c r="B43" s="54"/>
      <c r="C43" s="54"/>
      <c r="D43" s="54"/>
      <c r="E43" s="54"/>
      <c r="F43" s="54"/>
      <c r="G43" s="54"/>
      <c r="H43" s="121"/>
      <c r="I43" s="54"/>
      <c r="J43" s="54"/>
      <c r="K43" s="121"/>
      <c r="L43" s="67" t="s">
        <v>31</v>
      </c>
      <c r="M43" s="54"/>
      <c r="N43" s="83" t="s">
        <v>83</v>
      </c>
      <c r="O43" s="67"/>
      <c r="P43" s="80">
        <f>SUM(P31:P36,P38:P39)</f>
        <v>250.837154</v>
      </c>
      <c r="Q43" s="80">
        <f t="shared" ref="Q43" si="13">SUM(Q31:Q36,Q38:Q39)</f>
        <v>282.72375601999988</v>
      </c>
      <c r="R43" s="80">
        <f>SUM(R31:R36,R38:R39)</f>
        <v>320.69184430260003</v>
      </c>
    </row>
    <row r="44" spans="2:18" ht="16" thickBot="1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128" t="s">
        <v>84</v>
      </c>
      <c r="O44" s="111"/>
      <c r="P44" s="140">
        <f>P42-P43</f>
        <v>12.102771999999959</v>
      </c>
      <c r="Q44" s="140">
        <f>Q42-Q43</f>
        <v>14.398360360000083</v>
      </c>
      <c r="R44" s="140">
        <f t="shared" ref="R44" si="14">R42-R43</f>
        <v>15.056147206799892</v>
      </c>
    </row>
  </sheetData>
  <mergeCells count="4">
    <mergeCell ref="E4:F4"/>
    <mergeCell ref="H4:I4"/>
    <mergeCell ref="K4:L4"/>
    <mergeCell ref="N4:O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A8AE-D79A-4A96-B1EB-FCF77F3CA8D5}">
  <dimension ref="A1:J31"/>
  <sheetViews>
    <sheetView tabSelected="1" workbookViewId="0">
      <selection activeCell="K24" sqref="K24"/>
    </sheetView>
  </sheetViews>
  <sheetFormatPr defaultRowHeight="14.5"/>
  <cols>
    <col min="1" max="1" width="43" customWidth="1"/>
    <col min="3" max="3" width="9.36328125" bestFit="1" customWidth="1"/>
    <col min="4" max="4" width="13.1796875" customWidth="1"/>
    <col min="6" max="6" width="14" customWidth="1"/>
    <col min="8" max="8" width="12.81640625" customWidth="1"/>
  </cols>
  <sheetData>
    <row r="1" spans="1:10" ht="15.5">
      <c r="A1" s="68" t="s">
        <v>85</v>
      </c>
      <c r="B1" s="141">
        <v>0.13</v>
      </c>
    </row>
    <row r="2" spans="1:10" ht="15.5">
      <c r="A2" s="68" t="s">
        <v>86</v>
      </c>
      <c r="B2" s="141">
        <v>0.4</v>
      </c>
    </row>
    <row r="3" spans="1:10" ht="15" thickBot="1"/>
    <row r="4" spans="1:10" ht="15" thickTop="1">
      <c r="A4" s="142" t="s">
        <v>87</v>
      </c>
      <c r="B4" s="144"/>
      <c r="C4" s="144"/>
      <c r="D4" s="144"/>
      <c r="E4" s="144"/>
      <c r="F4" s="144"/>
      <c r="G4" s="144"/>
      <c r="H4" s="145"/>
      <c r="I4" s="143"/>
      <c r="J4" s="146"/>
    </row>
    <row r="5" spans="1:10">
      <c r="A5" s="147"/>
      <c r="B5" s="148"/>
      <c r="C5" s="166" t="s">
        <v>88</v>
      </c>
      <c r="D5" s="148"/>
      <c r="E5" s="148"/>
      <c r="F5" s="148"/>
      <c r="G5" s="148"/>
      <c r="H5" s="149"/>
      <c r="I5" s="143"/>
      <c r="J5" s="146"/>
    </row>
    <row r="6" spans="1:10">
      <c r="A6" s="150"/>
      <c r="B6" s="146"/>
      <c r="C6" s="194">
        <v>2002</v>
      </c>
      <c r="D6" s="195"/>
      <c r="E6" s="194">
        <v>2003</v>
      </c>
      <c r="F6" s="195"/>
      <c r="G6" s="194">
        <v>2024</v>
      </c>
      <c r="H6" s="195"/>
      <c r="I6" s="196"/>
      <c r="J6" s="197"/>
    </row>
    <row r="7" spans="1:10">
      <c r="A7" s="198" t="s">
        <v>89</v>
      </c>
      <c r="B7" s="146"/>
      <c r="C7" s="152" t="s">
        <v>90</v>
      </c>
      <c r="D7" s="152" t="s">
        <v>91</v>
      </c>
      <c r="E7" s="152" t="s">
        <v>90</v>
      </c>
      <c r="F7" s="152" t="s">
        <v>91</v>
      </c>
      <c r="G7" s="152" t="s">
        <v>90</v>
      </c>
      <c r="H7" s="153" t="s">
        <v>91</v>
      </c>
      <c r="I7" s="151"/>
      <c r="J7" s="151"/>
    </row>
    <row r="8" spans="1:10">
      <c r="A8" s="198"/>
      <c r="B8" s="154"/>
      <c r="C8" s="164">
        <f>'Exhibit 8 Data'!P37</f>
        <v>12.102771999999959</v>
      </c>
      <c r="D8" s="155">
        <v>0</v>
      </c>
      <c r="E8" s="165">
        <f>'Exhibit 8 Data'!Q37</f>
        <v>14.398360360000083</v>
      </c>
      <c r="F8" s="155">
        <v>0</v>
      </c>
      <c r="G8" s="165">
        <f>'Exhibit 8 Data'!R37</f>
        <v>15.056147206799892</v>
      </c>
      <c r="H8" s="156">
        <v>0</v>
      </c>
      <c r="I8" s="146"/>
      <c r="J8" s="146"/>
    </row>
    <row r="9" spans="1:10">
      <c r="A9" s="198"/>
      <c r="B9" s="157">
        <v>0.1</v>
      </c>
      <c r="C9" s="167">
        <f t="dataTable" ref="C9:H15" dt2D="0" dtr="0" r1="B1"/>
        <v>6.6708400000000267</v>
      </c>
      <c r="D9" s="158">
        <v>0</v>
      </c>
      <c r="E9" s="169">
        <v>7.7170840000000567</v>
      </c>
      <c r="F9" s="158">
        <v>0</v>
      </c>
      <c r="G9" s="169">
        <v>6.9087924000000385</v>
      </c>
      <c r="H9" s="159">
        <v>0</v>
      </c>
      <c r="I9" s="146"/>
      <c r="J9" s="146"/>
    </row>
    <row r="10" spans="1:10">
      <c r="A10" s="198"/>
      <c r="B10" s="157">
        <v>0.11</v>
      </c>
      <c r="C10" s="167">
        <v>8.4814840000000231</v>
      </c>
      <c r="D10" s="158">
        <v>0</v>
      </c>
      <c r="E10" s="169">
        <v>9.9079632400000719</v>
      </c>
      <c r="F10" s="158">
        <v>0</v>
      </c>
      <c r="G10" s="169">
        <v>9.5398391964000098</v>
      </c>
      <c r="H10" s="159">
        <v>0</v>
      </c>
      <c r="I10" s="146"/>
      <c r="J10" s="146"/>
    </row>
    <row r="11" spans="1:10">
      <c r="A11" s="198"/>
      <c r="B11" s="157">
        <v>0.12</v>
      </c>
      <c r="C11" s="167">
        <v>10.292128000000048</v>
      </c>
      <c r="D11" s="158">
        <v>0</v>
      </c>
      <c r="E11" s="169">
        <v>12.135055360000081</v>
      </c>
      <c r="F11" s="158">
        <v>0</v>
      </c>
      <c r="G11" s="169">
        <v>12.255262003200073</v>
      </c>
      <c r="H11" s="159">
        <v>0</v>
      </c>
      <c r="I11" s="146"/>
      <c r="J11" s="146"/>
    </row>
    <row r="12" spans="1:10" ht="15" thickBot="1">
      <c r="A12" s="198"/>
      <c r="B12" s="157">
        <v>0.13</v>
      </c>
      <c r="C12" s="167">
        <v>12.102771999999959</v>
      </c>
      <c r="D12" s="158">
        <v>0</v>
      </c>
      <c r="E12" s="169">
        <v>14.398360360000083</v>
      </c>
      <c r="F12" s="158">
        <v>0</v>
      </c>
      <c r="G12" s="169">
        <v>15.056147206799892</v>
      </c>
      <c r="H12" s="159">
        <v>0</v>
      </c>
      <c r="I12" s="146"/>
      <c r="J12" s="146"/>
    </row>
    <row r="13" spans="1:10" ht="15" thickBot="1">
      <c r="A13" s="198"/>
      <c r="B13" s="157">
        <v>0.14000000000000001</v>
      </c>
      <c r="C13" s="167">
        <v>13.913416000000041</v>
      </c>
      <c r="D13" s="158">
        <v>0</v>
      </c>
      <c r="E13" s="169">
        <v>16.69787824000008</v>
      </c>
      <c r="F13" s="158">
        <v>0</v>
      </c>
      <c r="G13" s="169">
        <v>17.943581193600039</v>
      </c>
      <c r="H13" s="159">
        <v>0</v>
      </c>
      <c r="I13" s="146"/>
      <c r="J13" s="160"/>
    </row>
    <row r="14" spans="1:10">
      <c r="A14" s="198"/>
      <c r="B14" s="157">
        <v>0.15</v>
      </c>
      <c r="C14" s="167">
        <v>15.724060000000009</v>
      </c>
      <c r="D14" s="158">
        <v>0</v>
      </c>
      <c r="E14" s="169">
        <v>19.033608999999956</v>
      </c>
      <c r="F14" s="158">
        <v>0</v>
      </c>
      <c r="G14" s="169">
        <v>20.918650350000064</v>
      </c>
      <c r="H14" s="159">
        <v>0</v>
      </c>
      <c r="I14" s="146"/>
      <c r="J14" s="146"/>
    </row>
    <row r="15" spans="1:10" ht="15" thickBot="1">
      <c r="A15" s="198"/>
      <c r="B15" s="161">
        <v>0.16</v>
      </c>
      <c r="C15" s="168">
        <v>17.534704000000033</v>
      </c>
      <c r="D15" s="162">
        <v>0</v>
      </c>
      <c r="E15" s="170">
        <v>21.405552639999996</v>
      </c>
      <c r="F15" s="162">
        <v>0</v>
      </c>
      <c r="G15" s="170">
        <v>23.982441062399971</v>
      </c>
      <c r="H15" s="163">
        <v>0</v>
      </c>
      <c r="I15" s="146"/>
      <c r="J15" s="146"/>
    </row>
    <row r="16" spans="1:10" ht="15" thickTop="1"/>
    <row r="19" spans="1:8" ht="15" thickBot="1"/>
    <row r="20" spans="1:8">
      <c r="A20" s="171"/>
      <c r="B20" s="172"/>
      <c r="C20" s="172"/>
      <c r="D20" s="172"/>
      <c r="E20" s="172"/>
      <c r="F20" s="172"/>
      <c r="G20" s="172"/>
      <c r="H20" s="173"/>
    </row>
    <row r="21" spans="1:8">
      <c r="A21" s="174"/>
      <c r="B21" s="175"/>
      <c r="C21" s="175"/>
      <c r="D21" s="175"/>
      <c r="E21" s="175"/>
      <c r="F21" s="175"/>
      <c r="G21" s="175"/>
      <c r="H21" s="176"/>
    </row>
    <row r="22" spans="1:8">
      <c r="A22" s="174"/>
      <c r="B22" s="146"/>
      <c r="C22" s="199">
        <v>2002</v>
      </c>
      <c r="D22" s="200"/>
      <c r="E22" s="199">
        <v>2003</v>
      </c>
      <c r="F22" s="200"/>
      <c r="G22" s="199">
        <v>2004</v>
      </c>
      <c r="H22" s="200"/>
    </row>
    <row r="23" spans="1:8">
      <c r="A23" s="174"/>
      <c r="B23" s="146"/>
      <c r="C23" s="177" t="s">
        <v>90</v>
      </c>
      <c r="D23" s="177" t="s">
        <v>91</v>
      </c>
      <c r="E23" s="177" t="s">
        <v>90</v>
      </c>
      <c r="F23" s="177" t="s">
        <v>91</v>
      </c>
      <c r="G23" s="177" t="s">
        <v>90</v>
      </c>
      <c r="H23" s="178" t="s">
        <v>91</v>
      </c>
    </row>
    <row r="24" spans="1:8">
      <c r="A24" s="174"/>
      <c r="B24" s="146"/>
      <c r="C24" s="185">
        <f>'Exhibit 8 Data'!$P$37</f>
        <v>12.102771999999959</v>
      </c>
      <c r="D24" s="179">
        <v>0</v>
      </c>
      <c r="E24" s="185">
        <f>'Exhibit 8 Data'!$Q$37</f>
        <v>14.398360360000083</v>
      </c>
      <c r="F24" s="179">
        <v>0</v>
      </c>
      <c r="G24" s="185">
        <f>'Exhibit 8 Data'!$R$37</f>
        <v>15.056147206799892</v>
      </c>
      <c r="H24" s="180">
        <v>0</v>
      </c>
    </row>
    <row r="25" spans="1:8">
      <c r="A25" s="193" t="s">
        <v>92</v>
      </c>
      <c r="B25" s="181">
        <v>0.37</v>
      </c>
      <c r="C25" s="185">
        <f t="dataTable" ref="C25:H31" dt2D="0" dtr="0" r1="B2"/>
        <v>12.102771999999959</v>
      </c>
      <c r="D25" s="179">
        <v>0</v>
      </c>
      <c r="E25" s="185">
        <v>14.398360360000083</v>
      </c>
      <c r="F25" s="179">
        <v>0</v>
      </c>
      <c r="G25" s="185">
        <v>15.056147206799892</v>
      </c>
      <c r="H25" s="180">
        <v>0</v>
      </c>
    </row>
    <row r="26" spans="1:8">
      <c r="A26" s="193"/>
      <c r="B26" s="181">
        <v>0.38</v>
      </c>
      <c r="C26" s="185">
        <v>12.102771999999959</v>
      </c>
      <c r="D26" s="179">
        <v>0</v>
      </c>
      <c r="E26" s="185">
        <v>14.398360360000083</v>
      </c>
      <c r="F26" s="179">
        <v>0</v>
      </c>
      <c r="G26" s="185">
        <v>15.056147206799892</v>
      </c>
      <c r="H26" s="180">
        <v>0</v>
      </c>
    </row>
    <row r="27" spans="1:8">
      <c r="A27" s="193"/>
      <c r="B27" s="181">
        <v>0.39</v>
      </c>
      <c r="C27" s="185">
        <v>12.102771999999959</v>
      </c>
      <c r="D27" s="179">
        <v>0</v>
      </c>
      <c r="E27" s="185">
        <v>14.398360360000083</v>
      </c>
      <c r="F27" s="179">
        <v>0</v>
      </c>
      <c r="G27" s="185">
        <v>15.056147206799892</v>
      </c>
      <c r="H27" s="180">
        <v>0</v>
      </c>
    </row>
    <row r="28" spans="1:8">
      <c r="A28" s="193"/>
      <c r="B28" s="181">
        <v>0.4</v>
      </c>
      <c r="C28" s="185">
        <v>12.102771999999959</v>
      </c>
      <c r="D28" s="179">
        <v>0</v>
      </c>
      <c r="E28" s="185">
        <v>14.398360360000083</v>
      </c>
      <c r="F28" s="179">
        <v>0</v>
      </c>
      <c r="G28" s="185">
        <v>15.056147206799892</v>
      </c>
      <c r="H28" s="180">
        <v>0</v>
      </c>
    </row>
    <row r="29" spans="1:8">
      <c r="A29" s="193"/>
      <c r="B29" s="181">
        <v>0.41</v>
      </c>
      <c r="C29" s="185">
        <v>12.102771999999959</v>
      </c>
      <c r="D29" s="179">
        <v>0</v>
      </c>
      <c r="E29" s="185">
        <v>14.398360360000083</v>
      </c>
      <c r="F29" s="179">
        <v>0</v>
      </c>
      <c r="G29" s="185">
        <v>15.056147206799892</v>
      </c>
      <c r="H29" s="180">
        <v>0</v>
      </c>
    </row>
    <row r="30" spans="1:8">
      <c r="A30" s="193"/>
      <c r="B30" s="181">
        <v>0.42</v>
      </c>
      <c r="C30" s="185">
        <v>12.102771999999959</v>
      </c>
      <c r="D30" s="179">
        <v>0</v>
      </c>
      <c r="E30" s="185">
        <v>14.398360360000083</v>
      </c>
      <c r="F30" s="179">
        <v>0</v>
      </c>
      <c r="G30" s="185">
        <v>15.056147206799892</v>
      </c>
      <c r="H30" s="180">
        <v>0</v>
      </c>
    </row>
    <row r="31" spans="1:8" ht="15" thickBot="1">
      <c r="A31" s="193"/>
      <c r="B31" s="182">
        <v>0.43</v>
      </c>
      <c r="C31" s="186">
        <v>12.102771999999959</v>
      </c>
      <c r="D31" s="183">
        <v>0</v>
      </c>
      <c r="E31" s="186">
        <v>14.398360360000083</v>
      </c>
      <c r="F31" s="183">
        <v>0</v>
      </c>
      <c r="G31" s="186">
        <v>15.056147206799892</v>
      </c>
      <c r="H31" s="184">
        <v>0</v>
      </c>
    </row>
  </sheetData>
  <mergeCells count="9">
    <mergeCell ref="A25:A31"/>
    <mergeCell ref="C6:D6"/>
    <mergeCell ref="E6:F6"/>
    <mergeCell ref="G6:H6"/>
    <mergeCell ref="I6:J6"/>
    <mergeCell ref="A7:A15"/>
    <mergeCell ref="C22:D22"/>
    <mergeCell ref="E22:F22"/>
    <mergeCell ref="G22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A886-76C9-4C60-B41A-DB48E2447CBA}">
  <dimension ref="A1:D14"/>
  <sheetViews>
    <sheetView workbookViewId="0">
      <selection activeCell="F8" sqref="F8"/>
    </sheetView>
  </sheetViews>
  <sheetFormatPr defaultRowHeight="14.5"/>
  <cols>
    <col min="1" max="1" width="20.90625" customWidth="1"/>
  </cols>
  <sheetData>
    <row r="1" spans="1:4">
      <c r="A1" s="187" t="s">
        <v>93</v>
      </c>
      <c r="B1" s="187" t="s">
        <v>94</v>
      </c>
      <c r="C1" s="187" t="s">
        <v>95</v>
      </c>
      <c r="D1" s="187" t="s">
        <v>96</v>
      </c>
    </row>
    <row r="2" spans="1:4">
      <c r="A2" s="188" t="s">
        <v>97</v>
      </c>
      <c r="B2" s="188">
        <v>2002</v>
      </c>
      <c r="C2" s="188">
        <v>2003</v>
      </c>
      <c r="D2" s="188">
        <v>2004</v>
      </c>
    </row>
    <row r="3" spans="1:4">
      <c r="A3" s="189" t="s">
        <v>98</v>
      </c>
      <c r="B3" s="189">
        <v>2.15</v>
      </c>
      <c r="C3" s="189">
        <v>2.15</v>
      </c>
      <c r="D3" s="189">
        <v>2.15</v>
      </c>
    </row>
    <row r="4" spans="1:4">
      <c r="A4" s="188" t="s">
        <v>99</v>
      </c>
      <c r="B4" s="188">
        <v>1.22</v>
      </c>
      <c r="C4" s="188">
        <v>1.22</v>
      </c>
      <c r="D4" s="188">
        <v>1.22</v>
      </c>
    </row>
    <row r="5" spans="1:4">
      <c r="A5" s="189" t="s">
        <v>100</v>
      </c>
      <c r="B5" s="189">
        <v>0.28999999999999998</v>
      </c>
      <c r="C5" s="189">
        <v>0.28999999999999998</v>
      </c>
      <c r="D5" s="189">
        <v>0.28999999999999998</v>
      </c>
    </row>
    <row r="6" spans="1:4">
      <c r="A6" s="188" t="s">
        <v>101</v>
      </c>
      <c r="B6" s="188">
        <v>0.48</v>
      </c>
      <c r="C6" s="188">
        <v>0.48</v>
      </c>
      <c r="D6" s="188">
        <v>0.48</v>
      </c>
    </row>
    <row r="7" spans="1:4">
      <c r="A7" s="189" t="s">
        <v>102</v>
      </c>
      <c r="B7" s="189">
        <v>0.91</v>
      </c>
      <c r="C7" s="189">
        <v>0.91</v>
      </c>
      <c r="D7" s="189">
        <v>0.91</v>
      </c>
    </row>
    <row r="8" spans="1:4">
      <c r="A8" s="188" t="s">
        <v>103</v>
      </c>
      <c r="B8" s="188">
        <v>1.91</v>
      </c>
      <c r="C8" s="188">
        <v>1.91</v>
      </c>
      <c r="D8" s="188">
        <v>1.91</v>
      </c>
    </row>
    <row r="9" spans="1:4">
      <c r="A9" s="189" t="s">
        <v>104</v>
      </c>
      <c r="B9" s="189">
        <v>2.84</v>
      </c>
      <c r="C9" s="189">
        <v>2.84</v>
      </c>
      <c r="D9" s="189">
        <v>2.84</v>
      </c>
    </row>
    <row r="10" spans="1:4">
      <c r="A10" s="188" t="s">
        <v>105</v>
      </c>
      <c r="B10" s="188">
        <v>12.5</v>
      </c>
      <c r="C10" s="188">
        <v>12.5</v>
      </c>
      <c r="D10" s="188">
        <v>12.5</v>
      </c>
    </row>
    <row r="11" spans="1:4">
      <c r="A11" s="189" t="s">
        <v>106</v>
      </c>
      <c r="B11" s="189">
        <v>1.63</v>
      </c>
      <c r="C11" s="189">
        <v>1.63</v>
      </c>
      <c r="D11" s="189">
        <v>1.63</v>
      </c>
    </row>
    <row r="12" spans="1:4">
      <c r="A12" s="188" t="s">
        <v>107</v>
      </c>
      <c r="B12" s="188">
        <v>5.7000000000000002E-2</v>
      </c>
      <c r="C12" s="188">
        <v>5.7000000000000002E-2</v>
      </c>
      <c r="D12" s="188">
        <v>5.7000000000000002E-2</v>
      </c>
    </row>
    <row r="13" spans="1:4">
      <c r="A13" s="189" t="s">
        <v>108</v>
      </c>
      <c r="B13" s="189">
        <v>9.1999999999999998E-2</v>
      </c>
      <c r="C13" s="189">
        <v>9.1999999999999998E-2</v>
      </c>
      <c r="D13" s="189">
        <v>9.1999999999999998E-2</v>
      </c>
    </row>
    <row r="14" spans="1:4">
      <c r="A14" s="188" t="s">
        <v>109</v>
      </c>
      <c r="B14" s="188">
        <v>0.17599999999999999</v>
      </c>
      <c r="C14" s="188">
        <v>0.17699999999999999</v>
      </c>
      <c r="D14" s="188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Exhibits 1-3</vt:lpstr>
      <vt:lpstr>Exhibits 4-7</vt:lpstr>
      <vt:lpstr>Exhibit 8 Data</vt:lpstr>
      <vt:lpstr>Sensitivity Scenario Analysis</vt:lpstr>
      <vt:lpstr>Ratio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Clarke</dc:creator>
  <cp:lastModifiedBy>Julie Clarke</cp:lastModifiedBy>
  <dcterms:created xsi:type="dcterms:W3CDTF">2025-06-18T01:38:39Z</dcterms:created>
  <dcterms:modified xsi:type="dcterms:W3CDTF">2025-07-18T00:49:13Z</dcterms:modified>
</cp:coreProperties>
</file>