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ryn\Desktop\ABE\ABE 201\Project 1\"/>
    </mc:Choice>
  </mc:AlternateContent>
  <bookViews>
    <workbookView xWindow="0" yWindow="0" windowWidth="19200" windowHeight="7540" activeTab="2"/>
  </bookViews>
  <sheets>
    <sheet name="Old" sheetId="1" r:id="rId1"/>
    <sheet name="New" sheetId="2" r:id="rId2"/>
    <sheet name="Differences" sheetId="4" r:id="rId3"/>
  </sheets>
  <definedNames>
    <definedName name="solver_adj" localSheetId="0" hidden="1">Old!$F$2:$F$16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Old!$F$10</definedName>
    <definedName name="solver_lhs10" localSheetId="0" hidden="1">Old!$F$4</definedName>
    <definedName name="solver_lhs11" localSheetId="0" hidden="1">Old!$F$5</definedName>
    <definedName name="solver_lhs12" localSheetId="0" hidden="1">Old!$F$6</definedName>
    <definedName name="solver_lhs13" localSheetId="0" hidden="1">Old!$F$7</definedName>
    <definedName name="solver_lhs14" localSheetId="0" hidden="1">Old!$F$8</definedName>
    <definedName name="solver_lhs15" localSheetId="0" hidden="1">Old!$F$9</definedName>
    <definedName name="solver_lhs16" localSheetId="0" hidden="1">Old!$F$9</definedName>
    <definedName name="solver_lhs17" localSheetId="0" hidden="1">Old!$F$9</definedName>
    <definedName name="solver_lhs2" localSheetId="0" hidden="1">Old!$F$11</definedName>
    <definedName name="solver_lhs3" localSheetId="0" hidden="1">Old!$F$12</definedName>
    <definedName name="solver_lhs4" localSheetId="0" hidden="1">Old!$F$13</definedName>
    <definedName name="solver_lhs5" localSheetId="0" hidden="1">Old!$F$14</definedName>
    <definedName name="solver_lhs6" localSheetId="0" hidden="1">Old!$F$15</definedName>
    <definedName name="solver_lhs7" localSheetId="0" hidden="1">Old!$F$16</definedName>
    <definedName name="solver_lhs8" localSheetId="0" hidden="1">Old!$F$2</definedName>
    <definedName name="solver_lhs9" localSheetId="0" hidden="1">Old!$F$3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Old!$D$12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60-Old!$F$2-Old!$F$3-Old!$F$4-Old!$F$5-Old!$F$6-Old!$F$7-Old!$F$8-Old!$F$9-Old!$F$11-Old!$F$12-Old!$F$13-Old!$F$14-Old!$F$15-Old!$F$16</definedName>
    <definedName name="solver_rhs10" localSheetId="0" hidden="1">60-Old!$F$2-Old!$F$3-Old!$F$5-Old!$F$6-Old!$F$7-Old!$F$8-Old!$F$9-Old!$F$10-Old!$F$11-Old!$F$12-Old!$F$13-Old!$F$14-Old!$F$15-Old!$F$16</definedName>
    <definedName name="solver_rhs11" localSheetId="0" hidden="1">60-Old!$F$2-Old!$F$3-Old!$F$4-Old!$F$6-Old!$F$7-Old!$F$8-Old!$F$9-Old!$F$10-Old!$F$11-Old!$F$12-Old!$F$13-Old!$F$14-Old!$F$15-Old!$F$16</definedName>
    <definedName name="solver_rhs12" localSheetId="0" hidden="1">60-Old!$F$2-Old!$F$3-Old!$F$4-Old!$F$5-Old!$F$7-Old!$F$8-Old!$F$9-Old!$F$10-Old!$F$11-Old!$F$12-Old!$F$13-Old!$F$14-Old!$F$15-Old!$F$16</definedName>
    <definedName name="solver_rhs13" localSheetId="0" hidden="1">60-Old!$F$2-Old!$F$3-Old!$F$4-Old!$F$5-Old!$F$6-Old!$F$8-Old!$F$9-Old!$F$10-Old!$F$11-Old!$F$12-Old!$F$13-Old!$F$14-Old!$F$15-Old!$F$16</definedName>
    <definedName name="solver_rhs14" localSheetId="0" hidden="1">60-Old!$F$2-Old!$F$3-Old!$F$4-Old!$F$5-Old!$F$6-Old!$F$7-Old!$F$9-Old!$F$10-Old!$F$11-Old!$F$12-Old!$F$13-Old!$F$14-Old!$F$15-Old!$F$16</definedName>
    <definedName name="solver_rhs15" localSheetId="0" hidden="1">60-Old!$F$2-Old!$F$3-Old!$F$4-Old!$F$5-Old!$F$6-Old!$F$7-Old!$F$8-Old!$F$10-Old!$F$11-Old!$F$12-Old!$F$13-Old!$F$14-Old!$F$15-Old!$F$16</definedName>
    <definedName name="solver_rhs16" localSheetId="0" hidden="1">60-Old!$F$2-Old!$F$3-Old!$F$4-Old!$F$5-Old!$F$6-Old!$F$7-Old!$F$8-Old!$F$10-Old!$F$11-Old!$F$12-Old!$F$13-Old!$F$14-Old!$F$15-Old!$F$16</definedName>
    <definedName name="solver_rhs17" localSheetId="0" hidden="1">60-Old!$F$2-Old!$F$3-Old!$F$4-Old!$F$5-Old!$F$6-Old!$F$7-Old!$F$8-Old!$F$10-Old!$F$11-Old!$F$12-Old!$F$13-Old!$F$14-Old!$F$15-Old!$F$16</definedName>
    <definedName name="solver_rhs2" localSheetId="0" hidden="1">60-Old!$F$2-Old!$F$3-Old!$F$4-Old!$F$5-Old!$F$6-Old!$F$7-Old!$F$8-Old!$F$9-Old!$F$10-Old!$F$12-Old!$F$13-Old!$F$14-Old!$F$15-Old!$F$16</definedName>
    <definedName name="solver_rhs3" localSheetId="0" hidden="1">60-Old!$F$2-Old!$F$3-Old!$F$4-Old!$F$5-Old!$F$6-Old!$F$7-Old!$F$8-Old!$F$9-Old!$F$10-Old!$F$11-Old!$F$13-Old!$F$14-Old!$F$15-Old!$F$16</definedName>
    <definedName name="solver_rhs4" localSheetId="0" hidden="1">60-Old!$F$2-Old!$F$3-Old!$F$4-Old!$F$5-Old!$F$6-Old!$F$7-Old!$F$8-Old!$F$9-Old!$F$10-Old!$F$11-Old!$F$12-Old!$F$14-Old!$F$15-Old!$F$16</definedName>
    <definedName name="solver_rhs5" localSheetId="0" hidden="1">60-Old!$F$2-Old!$F$3-Old!$F$4-Old!$F$5-Old!$F$6-Old!$F$7-Old!$F$8-Old!$F$9-Old!$F$10-Old!$F$11-Old!$F$12-Old!$F$13-Old!$F$15-Old!$F$16</definedName>
    <definedName name="solver_rhs6" localSheetId="0" hidden="1">60-Old!$F$2-Old!$F$3-Old!$F$4-Old!$F$5-Old!$F$6-Old!$F$7-Old!$F$8-Old!$F$9-Old!$F$10-Old!$F$11-Old!$F$12-Old!$F$13-Old!$F$14-Old!$F$16</definedName>
    <definedName name="solver_rhs7" localSheetId="0" hidden="1">60-Old!$F$2-Old!$F$3-Old!$F$4-Old!$F$5-Old!$F$6-Old!$F$7-Old!$F$8-Old!$F$9-Old!$F$10-Old!$F$11-Old!$F$12-Old!$F$13-Old!$F$14-Old!$F$15</definedName>
    <definedName name="solver_rhs8" localSheetId="0" hidden="1">60-Old!$F$3-Old!$F$4-Old!$F$5-Old!$F$6-Old!$F$7-Old!$F$8-Old!$F$9-Old!$F$10-Old!$F$11-Old!$F$12-Old!$F$13-Old!$F$14-Old!$F$15-Old!$F$16</definedName>
    <definedName name="solver_rhs9" localSheetId="0" hidden="1">60-Old!$F$2-Old!$F$4-Old!$F$5-Old!$F$6-Old!$F$7-Old!$F$8-Old!$F$9-Old!$F$10-Old!$F$11-Old!$F$12-Old!$F$13-Old!$F$14-Old!$F$15-Old!$F$16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60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B12" i="4"/>
  <c r="C11" i="4"/>
  <c r="B11" i="4"/>
  <c r="D19" i="2"/>
  <c r="F17" i="1"/>
  <c r="D15" i="2"/>
  <c r="D16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1" i="1"/>
  <c r="D11" i="1" s="1"/>
  <c r="N14" i="2" l="1"/>
  <c r="N4" i="2"/>
  <c r="B11" i="2" s="1"/>
  <c r="N2" i="2"/>
  <c r="D17" i="2" l="1"/>
  <c r="K14" i="2"/>
  <c r="J14" i="2"/>
  <c r="H14" i="2"/>
  <c r="G14" i="2"/>
  <c r="F14" i="2"/>
  <c r="E14" i="2"/>
  <c r="L4" i="2"/>
  <c r="B9" i="2" s="1"/>
  <c r="B10" i="2"/>
  <c r="B8" i="2"/>
  <c r="B7" i="2"/>
  <c r="B6" i="2"/>
  <c r="B5" i="2"/>
  <c r="B4" i="2"/>
  <c r="B3" i="2"/>
  <c r="B2" i="2"/>
  <c r="C10" i="1" l="1"/>
  <c r="D10" i="1" s="1"/>
  <c r="C9" i="1"/>
  <c r="D9" i="1" s="1"/>
  <c r="C8" i="1"/>
  <c r="D8" i="1" s="1"/>
  <c r="C7" i="1"/>
  <c r="C6" i="1"/>
  <c r="D6" i="1" s="1"/>
  <c r="C5" i="1"/>
  <c r="D5" i="1" s="1"/>
  <c r="C4" i="1"/>
  <c r="D4" i="1" s="1"/>
  <c r="C3" i="1"/>
  <c r="D3" i="1" s="1"/>
  <c r="C2" i="1"/>
  <c r="B8" i="4" l="1"/>
  <c r="C8" i="4" s="1"/>
  <c r="D2" i="1"/>
  <c r="B2" i="4"/>
  <c r="C2" i="4" s="1"/>
  <c r="B3" i="4"/>
  <c r="C3" i="4" s="1"/>
  <c r="B6" i="4"/>
  <c r="C6" i="4" s="1"/>
  <c r="D7" i="1"/>
  <c r="B7" i="4"/>
  <c r="C7" i="4" s="1"/>
  <c r="B4" i="4"/>
  <c r="C4" i="4" s="1"/>
  <c r="B10" i="4"/>
  <c r="C10" i="4" s="1"/>
  <c r="B9" i="4"/>
  <c r="C9" i="4" s="1"/>
  <c r="B5" i="4"/>
  <c r="C5" i="4" s="1"/>
  <c r="D12" i="1" l="1"/>
</calcChain>
</file>

<file path=xl/sharedStrings.xml><?xml version="1.0" encoding="utf-8"?>
<sst xmlns="http://schemas.openxmlformats.org/spreadsheetml/2006/main" count="97" uniqueCount="51">
  <si>
    <t>Nutritional Fact Point</t>
  </si>
  <si>
    <t>Data (grams)</t>
  </si>
  <si>
    <t>Model Output</t>
  </si>
  <si>
    <t>Mass Variables</t>
  </si>
  <si>
    <t>Mass Guess (grams)</t>
  </si>
  <si>
    <t>Percent Fat</t>
  </si>
  <si>
    <t>Percent Saturated Fat</t>
  </si>
  <si>
    <t>Percent Sodium</t>
  </si>
  <si>
    <t>Percent Carbs</t>
  </si>
  <si>
    <t>Percent Fiber</t>
  </si>
  <si>
    <t>Percent Sugar</t>
  </si>
  <si>
    <t>Percent Protein</t>
  </si>
  <si>
    <t>Percent Calcuim</t>
  </si>
  <si>
    <t>Percent Iron</t>
  </si>
  <si>
    <t>Fat</t>
  </si>
  <si>
    <t>High Fructose Corn Syrup</t>
  </si>
  <si>
    <t>Saturated Fat</t>
  </si>
  <si>
    <t>Whole Grain Rolled Oats</t>
  </si>
  <si>
    <t>Sodium</t>
  </si>
  <si>
    <t>Crisp Rice</t>
  </si>
  <si>
    <t>Carbs</t>
  </si>
  <si>
    <t>Soybean Lecithin</t>
  </si>
  <si>
    <t>Fiber</t>
  </si>
  <si>
    <t>Sugar</t>
  </si>
  <si>
    <t>Palm Oil and Palm Kernel</t>
  </si>
  <si>
    <t>Protein</t>
  </si>
  <si>
    <t>Corn Syrup Solids</t>
  </si>
  <si>
    <t>Calcium</t>
  </si>
  <si>
    <t>Honey</t>
  </si>
  <si>
    <t>Iron</t>
  </si>
  <si>
    <t>Salt</t>
  </si>
  <si>
    <t>Sum:</t>
  </si>
  <si>
    <t>Water</t>
  </si>
  <si>
    <t>Whey Protein</t>
  </si>
  <si>
    <t>Natural Flavor</t>
  </si>
  <si>
    <t>Cultured Nonfat Milk</t>
  </si>
  <si>
    <t>Sunflower Oil</t>
  </si>
  <si>
    <t>Sorbitol</t>
  </si>
  <si>
    <t>Normalized Error</t>
  </si>
  <si>
    <t>Agave</t>
  </si>
  <si>
    <t xml:space="preserve">Agave </t>
  </si>
  <si>
    <t>Differences</t>
  </si>
  <si>
    <t>Quinoa</t>
  </si>
  <si>
    <t>Diamond Crystal Salt Sense</t>
  </si>
  <si>
    <t>Coconut Milk</t>
  </si>
  <si>
    <t>Percentage</t>
  </si>
  <si>
    <t>Calories per 1 g</t>
  </si>
  <si>
    <t>Calories</t>
  </si>
  <si>
    <t>Sum</t>
  </si>
  <si>
    <t xml:space="preserve">size: 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</si>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</sst>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rgb="FF000000"/>
      <name val="Arial"/>
      <family val="2"/>
    </font>
    <font>
      <sz val="11"/>
      <color theme="1"/>
      <name val="Calibri"/>
      <family val="2"/>
      <scheme val="minor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9" fontId="0" fillId="0" borderId="0" xfId="1" applyFont="1"/>
    <xf numFmtId="0" fontId="1" fillId="0" borderId="0" xfId="0" applyFont="1"/>
    <xf numFmtId="0" fontId="2" fillId="0" borderId="0" xfId="0" applyFo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right" wrapText="1"/>
    </xf>
    <xf numFmtId="0" fontId="1" fillId="0" borderId="0" xfId="0" applyFont="1" applyFill="1" applyAlignment="1">
      <alignment wrapText="1"/>
    </xf>
    <xf numFmtId="0" fontId="2" fillId="0" borderId="0" xfId="0" applyFont="1" applyFill="1"/>
    <xf numFmtId="0" fontId="5" fillId="0" borderId="0" xfId="0" applyFont="1" applyFill="1"/>
  </cellXfs>
  <cellStyles count="2">
    <cellStyle name="Normal" xfId="0" builtinId="0"/>
    <cellStyle name="Percent" xfId="1" builtinId="5"/>
  </cellStyles>
  <dxfs count="10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120" zoomScaleNormal="120" workbookViewId="0">
      <selection activeCell="F15" sqref="F15"/>
    </sheetView>
  </sheetViews>
  <sheetFormatPr defaultRowHeight="14.5" x14ac:dyDescent="0.35"/>
  <cols>
    <col min="16" max="16" width="8.7265625" style="7"/>
  </cols>
  <sheetData>
    <row r="1" spans="1:16" ht="17.5" x14ac:dyDescent="0.35">
      <c r="A1" s="1" t="s">
        <v>0</v>
      </c>
      <c r="B1" s="1" t="s">
        <v>1</v>
      </c>
      <c r="C1" s="1" t="s">
        <v>2</v>
      </c>
      <c r="D1" s="1" t="s">
        <v>38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6" t="s">
        <v>46</v>
      </c>
    </row>
    <row r="2" spans="1:16" ht="17.5" x14ac:dyDescent="0.35">
      <c r="A2" s="2" t="s">
        <v>14</v>
      </c>
      <c r="B2" s="3">
        <v>3.5</v>
      </c>
      <c r="C2" s="4">
        <f>F2*G2+F3*G3+F4*G4+F5*G5+F6*G6+F7*G7+F8*G8+F9*G9+F10*G10+F11*G11+F12*G12+F13*G13+F14*G14+F15*G15+F16*G16</f>
        <v>3.5003004064609993</v>
      </c>
      <c r="D2" s="3">
        <f>(B2-C2)^2</f>
        <v>9.0244041810105686E-8</v>
      </c>
      <c r="E2" s="2" t="s">
        <v>15</v>
      </c>
      <c r="F2" s="3">
        <v>2.4515253473788894</v>
      </c>
      <c r="G2" s="3">
        <v>0</v>
      </c>
      <c r="H2" s="3">
        <v>0</v>
      </c>
      <c r="I2" s="3">
        <v>2.0000000000000002E-5</v>
      </c>
      <c r="J2" s="3">
        <v>0.76</v>
      </c>
      <c r="K2" s="3">
        <v>0</v>
      </c>
      <c r="L2" s="3">
        <v>0.75649999999999995</v>
      </c>
      <c r="M2" s="3">
        <v>0</v>
      </c>
      <c r="N2" s="3">
        <v>0</v>
      </c>
      <c r="O2" s="3">
        <v>2.9999999999999999E-7</v>
      </c>
      <c r="P2" s="7">
        <v>2.81</v>
      </c>
    </row>
    <row r="3" spans="1:16" ht="17.5" x14ac:dyDescent="0.35">
      <c r="A3" s="2" t="s">
        <v>16</v>
      </c>
      <c r="B3" s="3">
        <v>1</v>
      </c>
      <c r="C3" s="4">
        <f>F2*H2+F3*H3+F4*H4+F5*H5+F6*H6+F7*H7+F8*H8+F9*H9+F10*H10+F11*H11+F12*H12+F13*H13+F14*H14+F15*H15+F16*H16</f>
        <v>0.99973621598240892</v>
      </c>
      <c r="D3" s="3">
        <f t="shared" ref="D3:D10" si="0">(B3-C3)^2</f>
        <v>6.9582007936493516E-8</v>
      </c>
      <c r="E3" s="2" t="s">
        <v>17</v>
      </c>
      <c r="F3" s="3">
        <v>11.382137150921775</v>
      </c>
      <c r="G3" s="3">
        <v>3.3300000000000003E-2</v>
      </c>
      <c r="H3" s="3">
        <v>0</v>
      </c>
      <c r="I3" s="3">
        <v>5.3299999999999997E-3</v>
      </c>
      <c r="J3" s="3">
        <v>0.76670000000000005</v>
      </c>
      <c r="K3" s="3">
        <v>0.1</v>
      </c>
      <c r="L3" s="3">
        <v>6.6699999999999995E-2</v>
      </c>
      <c r="M3" s="3">
        <v>0.1333</v>
      </c>
      <c r="N3" s="3">
        <v>3.3300000000000001E-3</v>
      </c>
      <c r="O3" s="3">
        <v>2.9999999999999997E-4</v>
      </c>
      <c r="P3" s="3">
        <v>4</v>
      </c>
    </row>
    <row r="4" spans="1:16" x14ac:dyDescent="0.35">
      <c r="A4" s="2" t="s">
        <v>18</v>
      </c>
      <c r="B4" s="3">
        <v>0.18</v>
      </c>
      <c r="C4" s="4">
        <f>F2*I2+F3*I3+F4*I4+F5*I5+F6*I6+F7*I7+F8*I8+F9*I9+F10*I10+F11*I11+F12*I12+F13*I13+F14*I14+F15*I15+F16*I16</f>
        <v>0.1366237328164624</v>
      </c>
      <c r="D4" s="3">
        <f t="shared" si="0"/>
        <v>1.8815005547776406E-3</v>
      </c>
      <c r="E4" s="2" t="s">
        <v>19</v>
      </c>
      <c r="F4" s="3">
        <v>2.4653574781182028</v>
      </c>
      <c r="G4" s="3">
        <v>0</v>
      </c>
      <c r="H4" s="3">
        <v>0</v>
      </c>
      <c r="I4" s="3">
        <v>5.45E-3</v>
      </c>
      <c r="J4" s="3">
        <v>0.87880000000000003</v>
      </c>
      <c r="K4" s="3">
        <v>0</v>
      </c>
      <c r="L4" s="3">
        <v>0.1212</v>
      </c>
      <c r="M4" s="3">
        <v>6.0600000000000001E-2</v>
      </c>
      <c r="N4" s="3">
        <v>0</v>
      </c>
      <c r="O4" s="3">
        <v>3.2729999999999999E-4</v>
      </c>
      <c r="P4" s="7">
        <v>1.3</v>
      </c>
    </row>
    <row r="5" spans="1:16" ht="17.5" x14ac:dyDescent="0.35">
      <c r="A5" s="2" t="s">
        <v>20</v>
      </c>
      <c r="B5" s="3">
        <v>45</v>
      </c>
      <c r="C5" s="4">
        <f>F2*J2+F3*J3+F4*J4+F5*J5+F6*J6+F7*J7+F8*J8+F9*J9+F10*J10+F11*J11+F12*J12+F13*J13+F14*J14+F15*J15+F16*J16</f>
        <v>44.999851923369413</v>
      </c>
      <c r="D5" s="3">
        <f t="shared" si="0"/>
        <v>2.1926688526137498E-8</v>
      </c>
      <c r="E5" s="2" t="s">
        <v>21</v>
      </c>
      <c r="F5" s="3">
        <v>1.7499334843212654E-2</v>
      </c>
      <c r="G5" s="3">
        <v>1</v>
      </c>
      <c r="H5" s="3">
        <v>0.15004999999999999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7.63</v>
      </c>
    </row>
    <row r="6" spans="1:16" x14ac:dyDescent="0.35">
      <c r="A6" s="2" t="s">
        <v>22</v>
      </c>
      <c r="B6" s="3">
        <v>2</v>
      </c>
      <c r="C6" s="4">
        <f>F2*K2+F3*K3+F4*K4+F5*K5+F6*K6+F7*K7+F8*K8+F9*K9+F10*K10+F11*K11+F12*K12+F13*K13+F14*K14+F15*K15+F16*K16</f>
        <v>2.0022114073798933</v>
      </c>
      <c r="D6" s="3">
        <f t="shared" si="0"/>
        <v>4.8903225998467161E-6</v>
      </c>
      <c r="E6" s="2" t="s">
        <v>23</v>
      </c>
      <c r="F6" s="3">
        <v>6.2137433092612415</v>
      </c>
      <c r="G6" s="3">
        <v>0</v>
      </c>
      <c r="H6" s="3">
        <v>0</v>
      </c>
      <c r="I6" s="3">
        <v>0</v>
      </c>
      <c r="J6" s="3">
        <v>1</v>
      </c>
      <c r="K6" s="3">
        <v>0</v>
      </c>
      <c r="L6" s="3">
        <v>1</v>
      </c>
      <c r="M6" s="3">
        <v>0</v>
      </c>
      <c r="N6" s="3">
        <v>0</v>
      </c>
      <c r="O6" s="3">
        <v>0</v>
      </c>
      <c r="P6" s="7">
        <v>3.75</v>
      </c>
    </row>
    <row r="7" spans="1:16" ht="17.5" x14ac:dyDescent="0.35">
      <c r="A7" s="2" t="s">
        <v>23</v>
      </c>
      <c r="B7" s="3">
        <v>17</v>
      </c>
      <c r="C7" s="4">
        <f>F2*L2+F3*L3+F4*L4+F5*L5+F6*L6+F7*L7+F8*L8+F9*L9+F10*L10+F11*L11+F12*L12+F13*L13+F14*L14+F15*L15+F16*L16</f>
        <v>16.999963286516948</v>
      </c>
      <c r="D7" s="3">
        <f t="shared" si="0"/>
        <v>1.3478798378019878E-9</v>
      </c>
      <c r="E7" s="2" t="s">
        <v>24</v>
      </c>
      <c r="F7" s="3">
        <v>1.1408109671078792</v>
      </c>
      <c r="G7" s="3">
        <v>0.995</v>
      </c>
      <c r="H7" s="3">
        <v>0.71443999999999996</v>
      </c>
      <c r="I7" s="3">
        <v>6.0000000000000002E-5</v>
      </c>
      <c r="J7" s="3">
        <v>0</v>
      </c>
      <c r="K7" s="3">
        <v>0</v>
      </c>
      <c r="L7" s="3">
        <v>0</v>
      </c>
      <c r="M7" s="3">
        <v>0</v>
      </c>
      <c r="N7" s="3">
        <v>1.0000000000000001E-5</v>
      </c>
      <c r="O7" s="3">
        <v>1.5E-6</v>
      </c>
      <c r="P7" s="3">
        <v>8.8000000000000007</v>
      </c>
    </row>
    <row r="8" spans="1:16" ht="17.5" x14ac:dyDescent="0.35">
      <c r="A8" s="2" t="s">
        <v>25</v>
      </c>
      <c r="B8" s="3">
        <v>5</v>
      </c>
      <c r="C8" s="4">
        <f>F2*M2+F3*M3+F4*M4+F5*M5+F6*M6+F7*M7+F8*M8+F9*M9+F10*M10+F11*M11+F12*M12+F13*M13+F14*M14+F15*M15+F16*M16</f>
        <v>4.9997461143859292</v>
      </c>
      <c r="D8" s="3">
        <f t="shared" si="0"/>
        <v>6.4457905032108948E-8</v>
      </c>
      <c r="E8" s="2" t="s">
        <v>26</v>
      </c>
      <c r="F8" s="3">
        <v>9.5342231522027721</v>
      </c>
      <c r="G8" s="3">
        <v>2E-3</v>
      </c>
      <c r="H8" s="3">
        <v>0</v>
      </c>
      <c r="I8" s="3">
        <v>6.2E-4</v>
      </c>
      <c r="J8" s="3">
        <v>0.76790000000000003</v>
      </c>
      <c r="K8" s="3">
        <v>0</v>
      </c>
      <c r="L8" s="3">
        <v>0.76770000000000005</v>
      </c>
      <c r="M8" s="3">
        <v>0</v>
      </c>
      <c r="N8" s="3">
        <v>1.2999999999999999E-4</v>
      </c>
      <c r="O8" s="3">
        <v>0</v>
      </c>
      <c r="P8" s="7">
        <v>2.83</v>
      </c>
    </row>
    <row r="9" spans="1:16" x14ac:dyDescent="0.35">
      <c r="A9" s="2" t="s">
        <v>27</v>
      </c>
      <c r="B9" s="3">
        <v>0.06</v>
      </c>
      <c r="C9" s="4">
        <f>F2*N2+F3*N3+F4*N4+F5*N5+F6*N6+F7*N7+F8*N8+F9*N9+F10*N10+F11*N11+F12*N12+F13*N13+F14*N14+F15*N15+F16*N16</f>
        <v>5.6033501043211385E-2</v>
      </c>
      <c r="D9" s="3">
        <f t="shared" si="0"/>
        <v>1.5733113974205152E-5</v>
      </c>
      <c r="E9" s="2" t="s">
        <v>28</v>
      </c>
      <c r="F9" s="3">
        <v>2.6383018092576271E-4</v>
      </c>
      <c r="G9" s="3">
        <v>0</v>
      </c>
      <c r="H9" s="3">
        <v>0</v>
      </c>
      <c r="I9" s="3">
        <v>0</v>
      </c>
      <c r="J9" s="3">
        <v>0.8095</v>
      </c>
      <c r="K9" s="3">
        <v>0</v>
      </c>
      <c r="L9" s="3">
        <v>0.76190000000000002</v>
      </c>
      <c r="M9" s="3">
        <v>0</v>
      </c>
      <c r="N9" s="3">
        <v>0</v>
      </c>
      <c r="O9" s="3">
        <v>0</v>
      </c>
      <c r="P9" s="7">
        <v>2.86</v>
      </c>
    </row>
    <row r="10" spans="1:16" x14ac:dyDescent="0.35">
      <c r="A10" s="2" t="s">
        <v>29</v>
      </c>
      <c r="B10" s="3">
        <v>1.08E-3</v>
      </c>
      <c r="C10" s="4">
        <f>F2*O2+F3*O3+F4*O4+F5*O5+F6*O6+F7*O7+F8*O8+F9*O9+F10*O10+F11*O11+F12*O12+F13*O13+F14*O14+F15*O15+F16*O16</f>
        <v>4.397984201114302E-3</v>
      </c>
      <c r="D10" s="3">
        <f t="shared" si="0"/>
        <v>1.1009019158844112E-5</v>
      </c>
      <c r="E10" s="2" t="s">
        <v>30</v>
      </c>
      <c r="F10" s="3">
        <v>6.7572873631095085</v>
      </c>
      <c r="G10" s="3">
        <v>0.21429999999999999</v>
      </c>
      <c r="H10" s="3">
        <v>0</v>
      </c>
      <c r="I10" s="3">
        <v>6.79E-3</v>
      </c>
      <c r="J10" s="3">
        <v>0.64290000000000003</v>
      </c>
      <c r="K10" s="3">
        <v>0.107</v>
      </c>
      <c r="L10" s="3">
        <v>0</v>
      </c>
      <c r="M10" s="3">
        <v>0.1071</v>
      </c>
      <c r="N10" s="3">
        <v>0</v>
      </c>
      <c r="O10" s="3">
        <v>2.5700000000000001E-5</v>
      </c>
      <c r="P10" s="7">
        <v>4.6399999999999997</v>
      </c>
    </row>
    <row r="11" spans="1:16" x14ac:dyDescent="0.35">
      <c r="A11" s="2" t="s">
        <v>47</v>
      </c>
      <c r="B11" s="2">
        <v>220</v>
      </c>
      <c r="C11" s="7">
        <f>F2*P2+F3*P3+F4*P4+F5*P5+F6*P6+F7*P7+F8*P8+F9*P9+F10*P10+F11*P11+F12*P12+F13*P13+F14*P14+F15*P15+F16*P16</f>
        <v>219.99995829506196</v>
      </c>
      <c r="D11" s="3">
        <f>(B11-C11)^2</f>
        <v>1.7393018570600032E-9</v>
      </c>
      <c r="E11" s="2" t="s">
        <v>32</v>
      </c>
      <c r="F11" s="3">
        <v>0.10753700886200118</v>
      </c>
      <c r="G11" s="3">
        <v>0</v>
      </c>
      <c r="H11" s="3">
        <v>0</v>
      </c>
      <c r="I11" s="3">
        <v>2.0000000000000002E-5</v>
      </c>
      <c r="J11" s="3">
        <v>0</v>
      </c>
      <c r="K11" s="3">
        <v>0</v>
      </c>
      <c r="L11" s="3">
        <v>0</v>
      </c>
      <c r="M11" s="3">
        <v>0</v>
      </c>
      <c r="N11" s="3">
        <v>1E-4</v>
      </c>
      <c r="O11" s="3">
        <v>0</v>
      </c>
      <c r="P11" s="7">
        <v>0</v>
      </c>
    </row>
    <row r="12" spans="1:16" x14ac:dyDescent="0.35">
      <c r="A12" s="2"/>
      <c r="B12" s="2"/>
      <c r="C12" s="2" t="s">
        <v>31</v>
      </c>
      <c r="D12" s="3">
        <f>SUM(D2:D11)</f>
        <v>1.9133823083355365E-3</v>
      </c>
      <c r="E12" s="2" t="s">
        <v>33</v>
      </c>
      <c r="F12" s="3">
        <v>3.3563796294047208</v>
      </c>
      <c r="G12" s="3">
        <v>6.25E-2</v>
      </c>
      <c r="H12" s="3">
        <v>0</v>
      </c>
      <c r="I12" s="3">
        <v>2.5000000000000001E-3</v>
      </c>
      <c r="J12" s="3">
        <v>8.3299999999999999E-2</v>
      </c>
      <c r="K12" s="3">
        <v>4.2000000000000003E-2</v>
      </c>
      <c r="L12" s="3">
        <v>4.1700000000000001E-2</v>
      </c>
      <c r="M12" s="3">
        <v>0.75</v>
      </c>
      <c r="N12" s="3">
        <v>4.1700000000000001E-3</v>
      </c>
      <c r="O12" s="3">
        <v>0</v>
      </c>
      <c r="P12" s="7">
        <v>3.96</v>
      </c>
    </row>
    <row r="13" spans="1:16" x14ac:dyDescent="0.35">
      <c r="A13" s="2"/>
      <c r="B13" s="2"/>
      <c r="C13" s="2"/>
      <c r="D13" s="2"/>
      <c r="E13" s="2" t="s">
        <v>34</v>
      </c>
      <c r="F13" s="3">
        <v>2.3130621232394066</v>
      </c>
      <c r="G13" s="3">
        <v>0.1212</v>
      </c>
      <c r="H13" s="3">
        <v>7.5800000000000006E-2</v>
      </c>
      <c r="I13" s="3">
        <v>6.0999999999999997E-4</v>
      </c>
      <c r="J13" s="3">
        <v>0.2273</v>
      </c>
      <c r="K13" s="3">
        <v>0</v>
      </c>
      <c r="L13" s="3">
        <v>0.16669999999999999</v>
      </c>
      <c r="M13" s="3">
        <v>3.0300000000000001E-2</v>
      </c>
      <c r="N13" s="3">
        <v>9.1E-4</v>
      </c>
      <c r="O13" s="3">
        <v>0</v>
      </c>
      <c r="P13" s="7">
        <v>2.12</v>
      </c>
    </row>
    <row r="14" spans="1:16" ht="17.5" x14ac:dyDescent="0.35">
      <c r="A14" s="2"/>
      <c r="B14" s="2"/>
      <c r="C14" s="2"/>
      <c r="D14" s="2"/>
      <c r="E14" s="2" t="s">
        <v>35</v>
      </c>
      <c r="F14" s="3">
        <v>0.53733141505781978</v>
      </c>
      <c r="G14" s="3">
        <v>0.02</v>
      </c>
      <c r="H14" s="3">
        <v>1.242E-2</v>
      </c>
      <c r="I14" s="3">
        <v>1.5E-3</v>
      </c>
      <c r="J14" s="3">
        <v>5.2999999999999999E-2</v>
      </c>
      <c r="K14" s="3">
        <v>0</v>
      </c>
      <c r="L14" s="3">
        <v>5.2999999999999999E-2</v>
      </c>
      <c r="M14" s="3">
        <v>4.1000000000000002E-2</v>
      </c>
      <c r="N14" s="3">
        <v>1.4300000000000001E-3</v>
      </c>
      <c r="O14" s="3">
        <v>5.9999999999999997E-7</v>
      </c>
      <c r="P14" s="7">
        <v>0.56000000000000005</v>
      </c>
    </row>
    <row r="15" spans="1:16" x14ac:dyDescent="0.35">
      <c r="A15" s="2"/>
      <c r="B15" s="2"/>
      <c r="C15" s="2"/>
      <c r="D15" s="2"/>
      <c r="E15" s="2" t="s">
        <v>36</v>
      </c>
      <c r="F15" s="3">
        <v>6.5037952541078994E-4</v>
      </c>
      <c r="G15" s="3">
        <v>1</v>
      </c>
      <c r="H15" s="3">
        <v>0.10100000000000001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2.9999999999999999E-7</v>
      </c>
      <c r="P15" s="7">
        <v>8.84</v>
      </c>
    </row>
    <row r="16" spans="1:16" x14ac:dyDescent="0.35">
      <c r="A16" s="2"/>
      <c r="B16" s="2"/>
      <c r="C16" s="2"/>
      <c r="D16" s="2"/>
      <c r="E16" s="2" t="s">
        <v>37</v>
      </c>
      <c r="F16" s="3">
        <v>13.722191745565263</v>
      </c>
      <c r="G16" s="3">
        <v>0</v>
      </c>
      <c r="H16" s="3">
        <v>0</v>
      </c>
      <c r="I16" s="3">
        <v>0</v>
      </c>
      <c r="J16" s="3">
        <v>0.98599999999999999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7">
        <v>3.94</v>
      </c>
    </row>
    <row r="17" spans="5:6" x14ac:dyDescent="0.35">
      <c r="E17" s="2" t="s">
        <v>49</v>
      </c>
      <c r="F17">
        <f>SUM(F2:F16)</f>
        <v>60.00000023477903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D6" sqref="D6"/>
    </sheetView>
  </sheetViews>
  <sheetFormatPr defaultRowHeight="8" x14ac:dyDescent="0.2"/>
  <cols>
    <col min="1" max="16384" width="8.7265625" style="11"/>
  </cols>
  <sheetData>
    <row r="1" spans="1:15" ht="16" x14ac:dyDescent="0.2">
      <c r="A1" s="10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46</v>
      </c>
    </row>
    <row r="2" spans="1:15" x14ac:dyDescent="0.2">
      <c r="A2" s="8" t="s">
        <v>14</v>
      </c>
      <c r="B2" s="12">
        <f>D2*E2+D3*E3+D4*E4+D5*E5+D6*E6+D7*E7+D8*E8+D9*E9+D10*E10+D11*E11+D12*E12+D13*E13+D14*E14+D16*E16</f>
        <v>2.080214898279428</v>
      </c>
      <c r="C2" s="8" t="s">
        <v>39</v>
      </c>
      <c r="D2" s="9">
        <f>Old!F2*1/2</f>
        <v>1.2257626736894447</v>
      </c>
      <c r="E2" s="9">
        <v>0</v>
      </c>
      <c r="F2" s="9">
        <v>0</v>
      </c>
      <c r="G2" s="9">
        <v>0</v>
      </c>
      <c r="H2" s="9">
        <v>0.76</v>
      </c>
      <c r="I2" s="9">
        <v>0</v>
      </c>
      <c r="J2" s="9">
        <v>0.76</v>
      </c>
      <c r="K2" s="9">
        <v>0</v>
      </c>
      <c r="L2" s="9">
        <v>0</v>
      </c>
      <c r="M2" s="9">
        <v>0</v>
      </c>
      <c r="N2" s="11">
        <f>286/100</f>
        <v>2.86</v>
      </c>
    </row>
    <row r="3" spans="1:15" ht="16" x14ac:dyDescent="0.2">
      <c r="A3" s="8" t="s">
        <v>16</v>
      </c>
      <c r="B3" s="12">
        <f>D2*F2+D3*F3+D4*F4+D5*F5+D6*F6+D7*F7+D8*F8+D9*F9+D10*F10+D11*F11+D12*F12+D13*F13+D14*F14+D16*F16</f>
        <v>1.2622320765816795</v>
      </c>
      <c r="C3" s="8" t="s">
        <v>17</v>
      </c>
      <c r="D3" s="9">
        <f>Old!F3</f>
        <v>11.382137150921775</v>
      </c>
      <c r="E3" s="9">
        <v>3.3300000000000003E-2</v>
      </c>
      <c r="F3" s="9">
        <v>0</v>
      </c>
      <c r="G3" s="9">
        <v>5.3299999999999997E-3</v>
      </c>
      <c r="H3" s="9">
        <v>0.76670000000000005</v>
      </c>
      <c r="I3" s="9">
        <v>0.1</v>
      </c>
      <c r="J3" s="9">
        <v>6.6699999999999995E-2</v>
      </c>
      <c r="K3" s="9">
        <v>0.1333</v>
      </c>
      <c r="L3" s="9">
        <v>3.3300000000000001E-3</v>
      </c>
      <c r="M3" s="9">
        <v>2.9999999999999997E-4</v>
      </c>
      <c r="N3" s="9">
        <v>4</v>
      </c>
    </row>
    <row r="4" spans="1:15" x14ac:dyDescent="0.2">
      <c r="A4" s="8" t="s">
        <v>18</v>
      </c>
      <c r="B4" s="12">
        <f>D2*G2+D3*G3+D4*G4+D5*G5+D6*G6+D7*G7+D8*G8+D9*G9+D10*G10+D11*G11+D12*G12+D13*G13+D14*G14+D16*G16</f>
        <v>7.5491464244163684E-2</v>
      </c>
      <c r="C4" s="8" t="s">
        <v>42</v>
      </c>
      <c r="D4" s="9">
        <f>Old!F4</f>
        <v>2.4653574781182028</v>
      </c>
      <c r="E4" s="9">
        <v>1.92E-3</v>
      </c>
      <c r="F4" s="9">
        <v>2.31E-4</v>
      </c>
      <c r="G4" s="9">
        <v>6.9999999999999999E-4</v>
      </c>
      <c r="H4" s="9">
        <v>0.21299999999999999</v>
      </c>
      <c r="I4" s="9">
        <v>2.8000000000000001E-2</v>
      </c>
      <c r="J4" s="9">
        <v>8.7000000000000001E-4</v>
      </c>
      <c r="K4" s="9">
        <v>4.3999999999999997E-2</v>
      </c>
      <c r="L4" s="9">
        <f>17/100000</f>
        <v>1.7000000000000001E-4</v>
      </c>
      <c r="M4" s="9">
        <v>1.4899999999999999E-4</v>
      </c>
      <c r="N4" s="11">
        <f>120/100</f>
        <v>1.2</v>
      </c>
    </row>
    <row r="5" spans="1:15" ht="16" x14ac:dyDescent="0.2">
      <c r="A5" s="8" t="s">
        <v>20</v>
      </c>
      <c r="B5" s="12">
        <f>D2*H2+D3*H3+D4*H4+D5*H5+D6*H6+D7*H7+D8*H8+D9*H9+D10*H10+D11*H11+D12*H12+D13*H13+D14*H14+D16*H16</f>
        <v>31.451412921172803</v>
      </c>
      <c r="C5" s="8" t="s">
        <v>21</v>
      </c>
      <c r="D5" s="9">
        <f>Old!F5</f>
        <v>1.7499334843212654E-2</v>
      </c>
      <c r="E5" s="9">
        <v>1</v>
      </c>
      <c r="F5" s="9">
        <v>0.15004999999999999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7.63</v>
      </c>
    </row>
    <row r="6" spans="1:15" x14ac:dyDescent="0.2">
      <c r="A6" s="8" t="s">
        <v>22</v>
      </c>
      <c r="B6" s="12">
        <f>D2*I2+D3*I3+D4*I4+D5*I5+D6*I6+D7*I7+D8*I8+D9*I9+D10*I10+D11*I11+D12*I12+D13*I13+D14*I14+D16*I16</f>
        <v>1.3482116689144856</v>
      </c>
      <c r="C6" s="8" t="s">
        <v>39</v>
      </c>
      <c r="D6" s="9">
        <f>Old!F6*2/3</f>
        <v>4.1424955395074941</v>
      </c>
      <c r="E6" s="9">
        <v>0</v>
      </c>
      <c r="F6" s="9">
        <v>0</v>
      </c>
      <c r="G6" s="9">
        <v>0</v>
      </c>
      <c r="H6" s="9">
        <v>0.76</v>
      </c>
      <c r="I6" s="9">
        <v>0</v>
      </c>
      <c r="J6" s="9">
        <v>0.76</v>
      </c>
      <c r="K6" s="9">
        <v>0</v>
      </c>
      <c r="L6" s="9">
        <v>0</v>
      </c>
      <c r="M6" s="9">
        <v>0</v>
      </c>
      <c r="N6" s="9">
        <v>2.86</v>
      </c>
    </row>
    <row r="7" spans="1:15" ht="16" x14ac:dyDescent="0.2">
      <c r="A7" s="8" t="s">
        <v>23</v>
      </c>
      <c r="B7" s="12">
        <f>D2*J2+D3*J3+D4*J4+D5*J5+D6*J6+D7*J7+D8*J8+D9*J9+D10*J10+D11*J11+D12*J12+D13*J13+D14*J14+D16*J16</f>
        <v>9.0435963323038919</v>
      </c>
      <c r="C7" s="8" t="s">
        <v>24</v>
      </c>
      <c r="D7" s="9">
        <f>Old!F7</f>
        <v>1.1408109671078792</v>
      </c>
      <c r="E7" s="9">
        <v>0.995</v>
      </c>
      <c r="F7" s="9">
        <v>0.71443999999999996</v>
      </c>
      <c r="G7" s="9">
        <v>6.0000000000000002E-5</v>
      </c>
      <c r="H7" s="9">
        <v>0</v>
      </c>
      <c r="I7" s="9">
        <v>0</v>
      </c>
      <c r="J7" s="9">
        <v>0</v>
      </c>
      <c r="K7" s="9">
        <v>0</v>
      </c>
      <c r="L7" s="9">
        <v>1.0000000000000001E-5</v>
      </c>
      <c r="M7" s="9">
        <v>1.5E-6</v>
      </c>
      <c r="N7" s="9">
        <v>8.8000000000000007</v>
      </c>
    </row>
    <row r="8" spans="1:15" x14ac:dyDescent="0.2">
      <c r="A8" s="8" t="s">
        <v>25</v>
      </c>
      <c r="B8" s="12">
        <f>D2*K2+D3*K3+D4*K4+D5*K5+D6*K6+D7*K7+D8*K8+D9*K9+D10*K10+D11*K11+D12*K12+D13*K13+D14*K14+D16*K16</f>
        <v>4.2668182571485493</v>
      </c>
      <c r="C8" s="8" t="s">
        <v>39</v>
      </c>
      <c r="D8" s="9">
        <f>Old!F8*1/2</f>
        <v>4.767111576101386</v>
      </c>
      <c r="E8" s="9">
        <v>0</v>
      </c>
      <c r="F8" s="9">
        <v>0</v>
      </c>
      <c r="G8" s="9">
        <v>0</v>
      </c>
      <c r="H8" s="9">
        <v>0.76</v>
      </c>
      <c r="I8" s="9">
        <v>0</v>
      </c>
      <c r="J8" s="9">
        <v>0.76</v>
      </c>
      <c r="K8" s="9">
        <v>0</v>
      </c>
      <c r="L8" s="9">
        <v>0</v>
      </c>
      <c r="M8" s="9">
        <v>0</v>
      </c>
      <c r="N8" s="9">
        <v>2.86</v>
      </c>
    </row>
    <row r="9" spans="1:15" x14ac:dyDescent="0.2">
      <c r="A9" s="8" t="s">
        <v>27</v>
      </c>
      <c r="B9" s="12">
        <f>D2*L2+D3*L3+D4*L4+D5*L5+D6*L6+D7*L7+D8*L8+D9*L9+D10*L10+D11*L11+D12*L12+D13*L13+D14*L14+D16*L16</f>
        <v>5.4444778881172433E-2</v>
      </c>
      <c r="C9" s="8" t="s">
        <v>39</v>
      </c>
      <c r="D9" s="9">
        <f>Old!F9*1/2</f>
        <v>1.3191509046288135E-4</v>
      </c>
      <c r="E9" s="9">
        <v>0</v>
      </c>
      <c r="F9" s="9">
        <v>0</v>
      </c>
      <c r="G9" s="9">
        <v>0</v>
      </c>
      <c r="H9" s="9">
        <v>0.76</v>
      </c>
      <c r="I9" s="9">
        <v>0</v>
      </c>
      <c r="J9" s="9">
        <v>0.76</v>
      </c>
      <c r="K9" s="9">
        <v>0</v>
      </c>
      <c r="L9" s="9">
        <v>0</v>
      </c>
      <c r="M9" s="9">
        <v>0</v>
      </c>
      <c r="N9" s="9">
        <v>2.86</v>
      </c>
    </row>
    <row r="10" spans="1:15" x14ac:dyDescent="0.2">
      <c r="A10" s="8" t="s">
        <v>29</v>
      </c>
      <c r="B10" s="12">
        <f>D2*M2+D3*M3+D4*M4+D5*M5+D6*M6+D7*M7+D8*M8+D9*M9+D10*M10+D11*M11+D12*M12+D13*M13+D14*M14+D16*M16</f>
        <v>3.7836906259668063E-3</v>
      </c>
      <c r="C10" s="12" t="s">
        <v>43</v>
      </c>
      <c r="D10" s="9">
        <f>Old!F10</f>
        <v>6.7572873631095085</v>
      </c>
      <c r="E10" s="9">
        <v>0</v>
      </c>
      <c r="F10" s="9">
        <v>0</v>
      </c>
      <c r="G10" s="9">
        <v>3.8999999999999999E-4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5" x14ac:dyDescent="0.2">
      <c r="A11" s="8" t="s">
        <v>47</v>
      </c>
      <c r="B11" s="8">
        <f>D2*N2+D3*N3+D4*N4+D5*N5+D6*N6+D7*N7+D8*N8+D9*N9+D10*N10+D11*N11+D12*N12+D13*N13+D14*N14+D16*N16</f>
        <v>163.66887930402604</v>
      </c>
      <c r="C11" s="8" t="s">
        <v>32</v>
      </c>
      <c r="D11" s="9">
        <f>Old!F11</f>
        <v>0.10753700886200118</v>
      </c>
      <c r="E11" s="9">
        <v>0</v>
      </c>
      <c r="F11" s="9">
        <v>0</v>
      </c>
      <c r="G11" s="9">
        <v>2.0000000000000002E-5</v>
      </c>
      <c r="H11" s="9">
        <v>0</v>
      </c>
      <c r="I11" s="9">
        <v>0</v>
      </c>
      <c r="J11" s="9">
        <v>0</v>
      </c>
      <c r="K11" s="9">
        <v>0</v>
      </c>
      <c r="L11" s="9">
        <v>1E-4</v>
      </c>
      <c r="M11" s="9">
        <v>0</v>
      </c>
      <c r="N11" s="9">
        <v>0</v>
      </c>
    </row>
    <row r="12" spans="1:15" x14ac:dyDescent="0.2">
      <c r="A12" s="8"/>
      <c r="B12" s="8"/>
      <c r="C12" s="8" t="s">
        <v>33</v>
      </c>
      <c r="D12" s="9">
        <f>Old!F12</f>
        <v>3.3563796294047208</v>
      </c>
      <c r="E12" s="9">
        <v>6.25E-2</v>
      </c>
      <c r="F12" s="9">
        <v>0</v>
      </c>
      <c r="G12" s="9">
        <v>2.5000000000000001E-3</v>
      </c>
      <c r="H12" s="9">
        <v>8.3299999999999999E-2</v>
      </c>
      <c r="I12" s="9">
        <v>4.2000000000000003E-2</v>
      </c>
      <c r="J12" s="9">
        <v>4.1700000000000001E-2</v>
      </c>
      <c r="K12" s="9">
        <v>0.75</v>
      </c>
      <c r="L12" s="9">
        <v>4.1700000000000001E-3</v>
      </c>
      <c r="M12" s="9">
        <v>0</v>
      </c>
      <c r="N12" s="9">
        <v>3.96</v>
      </c>
    </row>
    <row r="13" spans="1:15" x14ac:dyDescent="0.2">
      <c r="A13" s="8"/>
      <c r="B13" s="8"/>
      <c r="C13" s="8" t="s">
        <v>34</v>
      </c>
      <c r="D13" s="9">
        <f>Old!F13</f>
        <v>2.3130621232394066</v>
      </c>
      <c r="E13" s="9">
        <v>0.1212</v>
      </c>
      <c r="F13" s="9">
        <v>7.5800000000000006E-2</v>
      </c>
      <c r="G13" s="9">
        <v>6.0999999999999997E-4</v>
      </c>
      <c r="H13" s="9">
        <v>0.2273</v>
      </c>
      <c r="I13" s="9">
        <v>0</v>
      </c>
      <c r="J13" s="9">
        <v>0.16669999999999999</v>
      </c>
      <c r="K13" s="9">
        <v>3.0300000000000001E-2</v>
      </c>
      <c r="L13" s="9">
        <v>9.1E-4</v>
      </c>
      <c r="M13" s="9">
        <v>0</v>
      </c>
      <c r="N13" s="9">
        <v>2.12</v>
      </c>
    </row>
    <row r="14" spans="1:15" x14ac:dyDescent="0.2">
      <c r="A14" s="8"/>
      <c r="B14" s="8"/>
      <c r="C14" s="8" t="s">
        <v>44</v>
      </c>
      <c r="D14" s="9">
        <f>Old!F14</f>
        <v>0.53733141505781978</v>
      </c>
      <c r="E14" s="9">
        <f>1/10</f>
        <v>0.1</v>
      </c>
      <c r="F14" s="9">
        <f>5/10</f>
        <v>0.5</v>
      </c>
      <c r="G14" s="9">
        <f>11/10000</f>
        <v>1.1000000000000001E-3</v>
      </c>
      <c r="H14" s="9">
        <f>3/10</f>
        <v>0.3</v>
      </c>
      <c r="I14" s="9">
        <v>0</v>
      </c>
      <c r="J14" s="9">
        <f>1/10</f>
        <v>0.1</v>
      </c>
      <c r="K14" s="9">
        <f>1/10</f>
        <v>0.1</v>
      </c>
      <c r="L14" s="9">
        <v>0</v>
      </c>
      <c r="M14" s="9">
        <v>0</v>
      </c>
      <c r="N14" s="11">
        <f>700/100</f>
        <v>7</v>
      </c>
    </row>
    <row r="15" spans="1:15" x14ac:dyDescent="0.2">
      <c r="A15" s="8"/>
      <c r="B15" s="8"/>
      <c r="C15" s="8" t="s">
        <v>36</v>
      </c>
      <c r="D15" s="9">
        <f>Old!F15</f>
        <v>6.5037952541078994E-4</v>
      </c>
      <c r="E15" s="9">
        <v>1</v>
      </c>
      <c r="F15" s="9">
        <v>0.10100000000000001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2.9999999999999999E-7</v>
      </c>
      <c r="N15" s="11">
        <v>8.84</v>
      </c>
      <c r="O15" s="9"/>
    </row>
    <row r="16" spans="1:15" x14ac:dyDescent="0.2">
      <c r="A16" s="8"/>
      <c r="B16" s="8"/>
      <c r="C16" s="8" t="s">
        <v>37</v>
      </c>
      <c r="D16" s="9">
        <f>Old!F16</f>
        <v>13.722191745565263</v>
      </c>
      <c r="E16" s="9">
        <v>0</v>
      </c>
      <c r="F16" s="9">
        <v>0</v>
      </c>
      <c r="G16" s="9">
        <v>0</v>
      </c>
      <c r="H16" s="9">
        <v>0.98599999999999999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3.94</v>
      </c>
    </row>
    <row r="17" spans="3:4" x14ac:dyDescent="0.2">
      <c r="C17" s="8" t="s">
        <v>48</v>
      </c>
      <c r="D17" s="11">
        <f>SUM(D2:D16)</f>
        <v>51.93574630014399</v>
      </c>
    </row>
    <row r="19" spans="3:4" x14ac:dyDescent="0.2">
      <c r="C19" s="8" t="s">
        <v>40</v>
      </c>
      <c r="D19" s="11">
        <f>D2+D6+D8+D9</f>
        <v>10.135501704388787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D21" sqref="D21"/>
    </sheetView>
  </sheetViews>
  <sheetFormatPr defaultRowHeight="14.5" x14ac:dyDescent="0.35"/>
  <cols>
    <col min="1" max="1" width="11.90625" bestFit="1" customWidth="1"/>
    <col min="2" max="2" width="11.81640625" bestFit="1" customWidth="1"/>
    <col min="3" max="3" width="8.7265625" style="5"/>
  </cols>
  <sheetData>
    <row r="1" spans="1:3" x14ac:dyDescent="0.35">
      <c r="A1" t="s">
        <v>41</v>
      </c>
      <c r="C1" s="5" t="s">
        <v>45</v>
      </c>
    </row>
    <row r="2" spans="1:3" x14ac:dyDescent="0.35">
      <c r="A2" t="s">
        <v>14</v>
      </c>
      <c r="B2">
        <f>Old!C2-New!B2</f>
        <v>1.4200855081815713</v>
      </c>
      <c r="C2" s="5">
        <f>B2/Old!C2*-1</f>
        <v>-0.40570389488865549</v>
      </c>
    </row>
    <row r="3" spans="1:3" x14ac:dyDescent="0.35">
      <c r="A3" t="s">
        <v>16</v>
      </c>
      <c r="B3">
        <f>Old!C3-New!B3</f>
        <v>-0.26249586059927055</v>
      </c>
      <c r="C3" s="5">
        <f>B3/Old!C3*-1</f>
        <v>0.26256512108178881</v>
      </c>
    </row>
    <row r="4" spans="1:3" x14ac:dyDescent="0.35">
      <c r="A4" t="s">
        <v>18</v>
      </c>
      <c r="B4">
        <f>Old!C4-New!B4</f>
        <v>6.1132268572298712E-2</v>
      </c>
      <c r="C4" s="5">
        <f>Differences!B4/Old!C4*-1</f>
        <v>-0.44744984866152487</v>
      </c>
    </row>
    <row r="5" spans="1:3" x14ac:dyDescent="0.35">
      <c r="A5" t="s">
        <v>20</v>
      </c>
      <c r="B5">
        <f>Old!C5-New!B5</f>
        <v>13.548439002196609</v>
      </c>
      <c r="C5" s="5">
        <f>B5/Old!C5*-1</f>
        <v>-0.30107741299389934</v>
      </c>
    </row>
    <row r="6" spans="1:3" x14ac:dyDescent="0.35">
      <c r="A6" t="s">
        <v>22</v>
      </c>
      <c r="B6">
        <f>Old!C6-New!B6</f>
        <v>0.65399973846540771</v>
      </c>
      <c r="C6" s="5">
        <f>B6/Old!C6*-1</f>
        <v>-0.32663870361283975</v>
      </c>
    </row>
    <row r="7" spans="1:3" x14ac:dyDescent="0.35">
      <c r="A7" t="s">
        <v>23</v>
      </c>
      <c r="B7">
        <f>Old!C7-New!B7</f>
        <v>7.9563669542130562</v>
      </c>
      <c r="C7" s="5">
        <f>B7/Old!C7*-1</f>
        <v>-0.46802259629133608</v>
      </c>
    </row>
    <row r="8" spans="1:3" x14ac:dyDescent="0.35">
      <c r="A8" t="s">
        <v>25</v>
      </c>
      <c r="B8">
        <f>Old!C8-New!B8</f>
        <v>0.73292785723737985</v>
      </c>
      <c r="C8" s="5">
        <f>B8/Old!C8*-1</f>
        <v>-0.14659301501900329</v>
      </c>
    </row>
    <row r="9" spans="1:3" x14ac:dyDescent="0.35">
      <c r="A9" t="s">
        <v>27</v>
      </c>
      <c r="B9">
        <f>Old!C9-New!B9</f>
        <v>1.5887221620389524E-3</v>
      </c>
      <c r="C9" s="5">
        <f>B9/Old!C9*-1</f>
        <v>-2.8353076864031337E-2</v>
      </c>
    </row>
    <row r="10" spans="1:3" x14ac:dyDescent="0.35">
      <c r="A10" t="s">
        <v>29</v>
      </c>
      <c r="B10">
        <f>Old!C10-New!B10</f>
        <v>6.1429357514749573E-4</v>
      </c>
      <c r="C10" s="5">
        <f>B10/Old!C10*-1</f>
        <v>-0.13967616686568685</v>
      </c>
    </row>
    <row r="11" spans="1:3" x14ac:dyDescent="0.35">
      <c r="A11" t="s">
        <v>47</v>
      </c>
      <c r="B11">
        <f>Old!C11-New!B11</f>
        <v>56.331078991035923</v>
      </c>
      <c r="C11" s="5">
        <f>-1*B11/Old!C11</f>
        <v>-0.25605040758910141</v>
      </c>
    </row>
    <row r="12" spans="1:3" x14ac:dyDescent="0.35">
      <c r="A12" t="s">
        <v>50</v>
      </c>
      <c r="B12">
        <f>Old!F17-New!D17</f>
        <v>8.0642539346350404</v>
      </c>
      <c r="C12" s="5">
        <f>-1*B12/Old!F17</f>
        <v>-0.13440423171799576</v>
      </c>
    </row>
  </sheetData>
  <conditionalFormatting sqref="G2">
    <cfRule type="cellIs" dxfId="44" priority="25" operator="greaterThan">
      <formula>0</formula>
    </cfRule>
  </conditionalFormatting>
  <conditionalFormatting sqref="C2">
    <cfRule type="cellIs" dxfId="43" priority="13" operator="lessThan">
      <formula>0</formula>
    </cfRule>
    <cfRule type="cellIs" dxfId="42" priority="22" operator="greaterThan">
      <formula>0</formula>
    </cfRule>
  </conditionalFormatting>
  <conditionalFormatting sqref="C3">
    <cfRule type="cellIs" dxfId="41" priority="8" operator="lessThan">
      <formula>0</formula>
    </cfRule>
    <cfRule type="cellIs" dxfId="40" priority="21" operator="greaterThan">
      <formula>0</formula>
    </cfRule>
  </conditionalFormatting>
  <conditionalFormatting sqref="C4">
    <cfRule type="cellIs" dxfId="39" priority="12" operator="lessThan">
      <formula>0</formula>
    </cfRule>
    <cfRule type="cellIs" dxfId="38" priority="20" operator="greaterThan">
      <formula>0</formula>
    </cfRule>
  </conditionalFormatting>
  <conditionalFormatting sqref="C5">
    <cfRule type="cellIs" dxfId="37" priority="11" operator="lessThan">
      <formula>0</formula>
    </cfRule>
    <cfRule type="cellIs" dxfId="36" priority="19" operator="greaterThan">
      <formula>0</formula>
    </cfRule>
  </conditionalFormatting>
  <conditionalFormatting sqref="C6">
    <cfRule type="cellIs" dxfId="35" priority="7" operator="greaterThan">
      <formula>0</formula>
    </cfRule>
    <cfRule type="cellIs" dxfId="34" priority="18" operator="lessThan">
      <formula>0</formula>
    </cfRule>
  </conditionalFormatting>
  <conditionalFormatting sqref="C7">
    <cfRule type="cellIs" dxfId="33" priority="10" operator="lessThan">
      <formula>0</formula>
    </cfRule>
    <cfRule type="cellIs" dxfId="32" priority="17" operator="greaterThan">
      <formula>0</formula>
    </cfRule>
  </conditionalFormatting>
  <conditionalFormatting sqref="C8">
    <cfRule type="cellIs" dxfId="31" priority="6" operator="greaterThan">
      <formula>0</formula>
    </cfRule>
    <cfRule type="cellIs" dxfId="30" priority="16" operator="lessThan">
      <formula>0</formula>
    </cfRule>
  </conditionalFormatting>
  <conditionalFormatting sqref="C9">
    <cfRule type="cellIs" dxfId="29" priority="9" operator="greaterThan">
      <formula>0</formula>
    </cfRule>
    <cfRule type="cellIs" dxfId="28" priority="15" operator="lessThan">
      <formula>0</formula>
    </cfRule>
  </conditionalFormatting>
  <conditionalFormatting sqref="C10">
    <cfRule type="cellIs" dxfId="27" priority="5" operator="greaterThan">
      <formula>0</formula>
    </cfRule>
    <cfRule type="cellIs" dxfId="26" priority="14" operator="lessThan">
      <formula>0</formula>
    </cfRule>
  </conditionalFormatting>
  <conditionalFormatting sqref="C11">
    <cfRule type="cellIs" dxfId="25" priority="4" operator="greaterThan">
      <formula>0</formula>
    </cfRule>
    <cfRule type="cellIs" dxfId="24" priority="3" operator="lessThan">
      <formula>0</formula>
    </cfRule>
  </conditionalFormatting>
  <conditionalFormatting sqref="C12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New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Atherton</dc:creator>
  <cp:lastModifiedBy>Kathryn Atherton</cp:lastModifiedBy>
  <dcterms:created xsi:type="dcterms:W3CDTF">2016-09-19T22:38:59Z</dcterms:created>
  <dcterms:modified xsi:type="dcterms:W3CDTF">2016-09-30T01:40:21Z</dcterms:modified>
</cp:coreProperties>
</file>