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, combined groups" sheetId="1" r:id="rId3"/>
    <sheet state="visible" name="Averages and Standard Dev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9">
      <text>
        <t xml:space="preserve">is mixing time in seconds or minutes?
	-Kathryn Atherton</t>
      </text>
    </comment>
  </commentList>
</comments>
</file>

<file path=xl/sharedStrings.xml><?xml version="1.0" encoding="utf-8"?>
<sst xmlns="http://schemas.openxmlformats.org/spreadsheetml/2006/main" count="173" uniqueCount="72">
  <si>
    <t>Kettle Type</t>
  </si>
  <si>
    <t>Kennedy</t>
  </si>
  <si>
    <t>Trial</t>
  </si>
  <si>
    <t>Specific notes or comments on data:</t>
  </si>
  <si>
    <t>Trials 1, 2, and 3 used separate batches of xanthan gum mixture, Trials 4 and 5 mixed half batches from Trials 1 and 2 with fresh batches to reach the desired temperature in a timely manner; Trial 4 was at a static temperature of 30C whereas all other trials were started where temperature was increasing prior to reaching 30C and the trial start; The volume of xanthan gum mixture used was 10 gallons in trials 1-4, in trial 5 the volume was less than 10 gallons by an unknown, non-negligent amount due to evaporation and spillage</t>
  </si>
  <si>
    <t>Kettle Geometry</t>
  </si>
  <si>
    <t>Diameter [in]</t>
  </si>
  <si>
    <t>Average Agitation Speed (rpm)</t>
  </si>
  <si>
    <t>Impeller Type</t>
  </si>
  <si>
    <t>anchor paddle</t>
  </si>
  <si>
    <t>Depth [in]</t>
  </si>
  <si>
    <t>Trial #</t>
  </si>
  <si>
    <t>Agitation Speed [rpm]</t>
  </si>
  <si>
    <t>Power Consumption [W]</t>
  </si>
  <si>
    <t>Steam Pressure [psi]</t>
  </si>
  <si>
    <t>Temperature [ºC]</t>
  </si>
  <si>
    <t>Time [min:sec]</t>
  </si>
  <si>
    <t>Standard Deviation Agitation Speed</t>
  </si>
  <si>
    <t>Notes</t>
  </si>
  <si>
    <t>supposed to have 10 gal of XG but some spilled out on most trials</t>
  </si>
  <si>
    <t>Average Shear Rate (1/s)</t>
  </si>
  <si>
    <t>Notes: xanthan gum solution was exchanged for each trial so the volume of 10 gallons may not be completely accurate and the composition likely changed very slighlty for each trial; resulting in possible small error</t>
  </si>
  <si>
    <t>Average Power (W)</t>
  </si>
  <si>
    <t>Standard Deviation Power</t>
  </si>
  <si>
    <t>Average Steam Pressure (psi)</t>
  </si>
  <si>
    <t>Standard Deviation Steam Pressure)</t>
  </si>
  <si>
    <t>Trial 1</t>
  </si>
  <si>
    <t>Trial 2</t>
  </si>
  <si>
    <t>Trial 3</t>
  </si>
  <si>
    <t>Trial 4</t>
  </si>
  <si>
    <t>Trial 5</t>
  </si>
  <si>
    <t>Temperature (degrees C)</t>
  </si>
  <si>
    <t>Time (s)</t>
  </si>
  <si>
    <t>Average Time</t>
  </si>
  <si>
    <t>Standard Deviation Time</t>
  </si>
  <si>
    <t>Average Agitation Speed (rounds per s)</t>
  </si>
  <si>
    <t>Temperature</t>
  </si>
  <si>
    <t>K-values from given data (Pa*s^n)</t>
  </si>
  <si>
    <t>n-values from given data</t>
  </si>
  <si>
    <t>Density</t>
  </si>
  <si>
    <t>kg/m3</t>
  </si>
  <si>
    <t>Specific heat capacity</t>
  </si>
  <si>
    <t>J/(kg·K)</t>
  </si>
  <si>
    <t>Conductivity</t>
  </si>
  <si>
    <t>W/(m·K)</t>
  </si>
  <si>
    <t>Temperature (C)</t>
  </si>
  <si>
    <t>Average Apparent Viscosities</t>
  </si>
  <si>
    <t>Tank Diameter Measurement (m)</t>
  </si>
  <si>
    <t>Impeller Diameter Measurement (m)</t>
  </si>
  <si>
    <t>Tank Clyindrical Height (m)</t>
  </si>
  <si>
    <t>Reynolds Number Calculated at 30C and different speeds (it only asked for 30C, but I did them all).</t>
  </si>
  <si>
    <t>Power Number</t>
  </si>
  <si>
    <t>Page 145 in Book</t>
  </si>
  <si>
    <t>[Np = P / (rho * N^3 * D^5)]</t>
  </si>
  <si>
    <t>Eyeballed Graph Values for Mxing Factor</t>
  </si>
  <si>
    <t>Estimated Mixing Factors</t>
  </si>
  <si>
    <t>Mixing Time at 30 C and 80 C with respect to agitation speed.  Shows mixing time decreases with more agitation and more temperature</t>
  </si>
  <si>
    <t>Page 150 in Book?</t>
  </si>
  <si>
    <t>Averaged Steam H-value (Internet)</t>
  </si>
  <si>
    <t>https://www.tlv.com/global/TI/steam-theory/overall-heat-transfer-coefficient.html</t>
  </si>
  <si>
    <t>Heat Transfer Stuff</t>
  </si>
  <si>
    <t>slopes</t>
  </si>
  <si>
    <t>Agitation Speed</t>
  </si>
  <si>
    <t>Calculated U-Values from slope</t>
  </si>
  <si>
    <t>Calculated Hi-values from U</t>
  </si>
  <si>
    <t>Nu</t>
  </si>
  <si>
    <t>Interpolated viscosity at 75 C</t>
  </si>
  <si>
    <t>Re(Pr)(Vi)</t>
  </si>
  <si>
    <t>b</t>
  </si>
  <si>
    <t>a</t>
  </si>
  <si>
    <t>ln(Nu)</t>
  </si>
  <si>
    <t>ln(Re)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</si>
</sst>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0.0000000000"/>
  </numFmts>
  <fonts count="7">
    <font>
      <sz val="10.0"/>
      <color rgb="FF000000"/>
      <name val="Arial"/>
    </font>
    <font>
      <name val="Arial"/>
    </font>
    <font/>
    <font>
      <color rgb="FF000000"/>
      <name val="Arial"/>
    </font>
    <font>
      <sz val="12.0"/>
      <color rgb="FF000000"/>
      <name val="Calibri"/>
    </font>
    <font>
      <u/>
      <color rgb="FF0000FF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3">
    <border/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2" numFmtId="1" xfId="0" applyAlignment="1" applyFont="1" applyNumberFormat="1">
      <alignment readingOrder="0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2" fontId="1" numFmtId="164" xfId="0" applyAlignment="1" applyFont="1" applyNumberFormat="1">
      <alignment horizontal="righ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right" vertical="bottom"/>
    </xf>
    <xf borderId="0" fillId="0" fontId="2" numFmtId="165" xfId="0" applyFont="1" applyNumberFormat="1"/>
    <xf borderId="0" fillId="3" fontId="0" numFmtId="165" xfId="0" applyFill="1" applyFont="1" applyNumberFormat="1"/>
    <xf borderId="1" fillId="3" fontId="3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2" xfId="0" applyFont="1" applyNumberFormat="1"/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2" numFmtId="0" xfId="0" applyBorder="1" applyFont="1"/>
    <xf borderId="2" fillId="0" fontId="2" numFmtId="2" xfId="0" applyBorder="1" applyFont="1" applyNumberFormat="1"/>
    <xf borderId="0" fillId="0" fontId="2" numFmtId="1" xfId="0" applyFont="1" applyNumberFormat="1"/>
    <xf borderId="2" fillId="0" fontId="2" numFmtId="1" xfId="0" applyAlignment="1" applyBorder="1" applyFont="1" applyNumberFormat="1">
      <alignment readingOrder="0"/>
    </xf>
    <xf borderId="0" fillId="0" fontId="2" numFmtId="164" xfId="0" applyFont="1" applyNumberFormat="1"/>
    <xf borderId="0" fillId="4" fontId="2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Font="1"/>
    <xf borderId="0" fillId="3" fontId="2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Font="1" applyNumberFormat="1"/>
    <xf borderId="0" fillId="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tlv.com/global/TI/steam-theory/overall-heat-transfer-coefficient.html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4" t="s">
        <v>3</v>
      </c>
      <c r="D1" s="1"/>
      <c r="E1" s="5" t="s">
        <v>4</v>
      </c>
      <c r="F1" s="1"/>
      <c r="G1" s="1" t="s">
        <v>5</v>
      </c>
      <c r="H1" s="1" t="s">
        <v>6</v>
      </c>
      <c r="I1" s="7">
        <v>26.0</v>
      </c>
      <c r="J1" s="1" t="s">
        <v>8</v>
      </c>
      <c r="K1" s="3" t="s">
        <v>9</v>
      </c>
    </row>
    <row r="2">
      <c r="A2" s="1"/>
      <c r="B2" s="1"/>
      <c r="C2" s="1"/>
      <c r="D2" s="1"/>
      <c r="E2" s="1"/>
      <c r="F2" s="1"/>
      <c r="G2" s="1"/>
      <c r="H2" s="1" t="s">
        <v>10</v>
      </c>
      <c r="I2" s="7">
        <v>19.0</v>
      </c>
      <c r="J2" s="1"/>
    </row>
    <row r="3">
      <c r="A3" s="1" t="s">
        <v>11</v>
      </c>
      <c r="B3" s="7">
        <v>1.0</v>
      </c>
      <c r="C3" s="1" t="s">
        <v>11</v>
      </c>
      <c r="D3" s="7">
        <v>2.0</v>
      </c>
      <c r="E3" s="1" t="s">
        <v>11</v>
      </c>
      <c r="F3" s="7">
        <v>3.0</v>
      </c>
      <c r="G3" s="1" t="s">
        <v>11</v>
      </c>
      <c r="H3" s="7">
        <v>4.0</v>
      </c>
      <c r="I3" s="1" t="s">
        <v>11</v>
      </c>
      <c r="J3" s="7">
        <v>5.0</v>
      </c>
    </row>
    <row r="4">
      <c r="A4" s="8" t="s">
        <v>12</v>
      </c>
      <c r="B4" s="9">
        <v>19.0</v>
      </c>
      <c r="C4" s="8" t="s">
        <v>12</v>
      </c>
      <c r="D4" s="10">
        <v>33.5</v>
      </c>
      <c r="E4" s="8" t="s">
        <v>12</v>
      </c>
      <c r="F4" s="10">
        <v>44.2</v>
      </c>
      <c r="G4" s="8" t="s">
        <v>12</v>
      </c>
      <c r="H4" s="10">
        <v>56.1</v>
      </c>
      <c r="I4" s="8" t="s">
        <v>12</v>
      </c>
      <c r="J4" s="10">
        <v>61.2</v>
      </c>
    </row>
    <row r="5">
      <c r="A5" s="8" t="s">
        <v>13</v>
      </c>
      <c r="B5" s="10">
        <v>6.4</v>
      </c>
      <c r="C5" s="8" t="s">
        <v>13</v>
      </c>
      <c r="D5" s="10">
        <v>6.5</v>
      </c>
      <c r="E5" s="8" t="s">
        <v>13</v>
      </c>
      <c r="F5" s="10">
        <v>6.5</v>
      </c>
      <c r="G5" s="8" t="s">
        <v>13</v>
      </c>
      <c r="H5" s="10">
        <v>6.4</v>
      </c>
      <c r="I5" s="8" t="s">
        <v>13</v>
      </c>
      <c r="J5" s="10">
        <v>6.6</v>
      </c>
    </row>
    <row r="6">
      <c r="A6" s="8" t="s">
        <v>14</v>
      </c>
      <c r="B6" s="9">
        <v>20.0</v>
      </c>
      <c r="C6" s="8" t="s">
        <v>14</v>
      </c>
      <c r="D6" s="9">
        <v>20.0</v>
      </c>
      <c r="E6" s="12" t="s">
        <v>14</v>
      </c>
      <c r="F6" s="9">
        <v>20.0</v>
      </c>
      <c r="G6" s="12" t="s">
        <v>14</v>
      </c>
      <c r="H6" s="9">
        <v>20.0</v>
      </c>
      <c r="I6" s="12" t="s">
        <v>14</v>
      </c>
      <c r="J6" s="9">
        <v>20.0</v>
      </c>
    </row>
    <row r="7">
      <c r="A7" s="1" t="s">
        <v>15</v>
      </c>
      <c r="B7" s="1" t="s">
        <v>16</v>
      </c>
      <c r="C7" s="1" t="s">
        <v>15</v>
      </c>
      <c r="D7" s="1" t="s">
        <v>16</v>
      </c>
      <c r="E7" s="1" t="s">
        <v>15</v>
      </c>
      <c r="F7" s="1" t="s">
        <v>16</v>
      </c>
      <c r="G7" s="1" t="s">
        <v>15</v>
      </c>
      <c r="H7" s="1" t="s">
        <v>16</v>
      </c>
      <c r="I7" s="1" t="s">
        <v>15</v>
      </c>
      <c r="J7" s="1" t="s">
        <v>16</v>
      </c>
    </row>
    <row r="8">
      <c r="A8" s="13">
        <v>30.0</v>
      </c>
      <c r="B8" s="14">
        <v>0.0</v>
      </c>
      <c r="C8" s="13">
        <v>30.0</v>
      </c>
      <c r="D8" s="14">
        <v>0.0</v>
      </c>
      <c r="E8" s="13">
        <v>30.0</v>
      </c>
      <c r="F8" s="14">
        <v>0.0</v>
      </c>
      <c r="G8" s="13">
        <v>30.0</v>
      </c>
      <c r="H8" s="14">
        <v>0.0</v>
      </c>
      <c r="I8" s="13">
        <v>30.0</v>
      </c>
      <c r="J8" s="14">
        <v>0.0</v>
      </c>
    </row>
    <row r="9">
      <c r="A9" s="13">
        <v>40.0</v>
      </c>
      <c r="B9" s="14">
        <v>0.0763888888888889</v>
      </c>
      <c r="C9" s="13">
        <v>40.0</v>
      </c>
      <c r="D9" s="14">
        <v>0.05138888888888889</v>
      </c>
      <c r="E9" s="13">
        <v>40.0</v>
      </c>
      <c r="F9" s="14">
        <v>0.04236111111111111</v>
      </c>
      <c r="G9" s="13">
        <v>40.0</v>
      </c>
      <c r="H9" s="14">
        <v>0.0625</v>
      </c>
      <c r="I9" s="13">
        <v>40.0</v>
      </c>
      <c r="J9" s="14">
        <v>0.03680555555555556</v>
      </c>
    </row>
    <row r="10">
      <c r="A10" s="13">
        <v>50.0</v>
      </c>
      <c r="B10" s="14">
        <v>0.1673611111111111</v>
      </c>
      <c r="C10" s="13">
        <v>50.0</v>
      </c>
      <c r="D10" s="14">
        <v>0.10972222222222222</v>
      </c>
      <c r="E10" s="13">
        <v>50.0</v>
      </c>
      <c r="F10" s="14">
        <v>0.09027777777777778</v>
      </c>
      <c r="G10" s="13">
        <v>50.0</v>
      </c>
      <c r="H10" s="14">
        <v>0.10208333333333333</v>
      </c>
      <c r="I10" s="13">
        <v>50.0</v>
      </c>
      <c r="J10" s="14">
        <v>0.07222222222222222</v>
      </c>
    </row>
    <row r="11">
      <c r="A11" s="13">
        <v>60.0</v>
      </c>
      <c r="B11" s="14">
        <v>0.2659722222222222</v>
      </c>
      <c r="C11" s="13">
        <v>60.0</v>
      </c>
      <c r="D11" s="14">
        <v>0.175</v>
      </c>
      <c r="E11" s="13">
        <v>60.0</v>
      </c>
      <c r="F11" s="14">
        <v>0.15625</v>
      </c>
      <c r="G11" s="13">
        <v>60.0</v>
      </c>
      <c r="H11" s="14">
        <v>0.14375</v>
      </c>
      <c r="I11" s="13">
        <v>60.0</v>
      </c>
      <c r="J11" s="14">
        <v>0.11041666666666666</v>
      </c>
    </row>
    <row r="12">
      <c r="A12" s="13">
        <v>70.0</v>
      </c>
      <c r="B12" s="14">
        <v>0.3597222222222222</v>
      </c>
      <c r="C12" s="13">
        <v>70.0</v>
      </c>
      <c r="D12" s="14">
        <v>0.24930555555555556</v>
      </c>
      <c r="E12" s="13">
        <v>70.0</v>
      </c>
      <c r="F12" s="14">
        <v>0.2048611111111111</v>
      </c>
      <c r="G12" s="13">
        <v>70.0</v>
      </c>
      <c r="H12" s="14">
        <v>0.18541666666666667</v>
      </c>
      <c r="I12" s="13">
        <v>70.0</v>
      </c>
      <c r="J12" s="14">
        <v>0.15486111111111112</v>
      </c>
    </row>
    <row r="13">
      <c r="A13" s="13">
        <v>80.0</v>
      </c>
      <c r="B13" s="14">
        <v>0.44722222222222224</v>
      </c>
      <c r="C13" s="13">
        <v>80.0</v>
      </c>
      <c r="D13" s="14">
        <v>0.3375</v>
      </c>
      <c r="E13" s="13">
        <v>80.0</v>
      </c>
      <c r="F13" s="14">
        <v>0.27361111111111114</v>
      </c>
      <c r="G13" s="13">
        <v>80.0</v>
      </c>
      <c r="H13" s="14">
        <v>0.24375</v>
      </c>
      <c r="I13" s="13">
        <v>80.0</v>
      </c>
      <c r="J13" s="14">
        <v>0.20625</v>
      </c>
    </row>
    <row r="15">
      <c r="A15" s="1" t="s">
        <v>11</v>
      </c>
      <c r="B15" s="7">
        <v>1.0</v>
      </c>
      <c r="C15" s="1" t="s">
        <v>11</v>
      </c>
      <c r="D15" s="7">
        <v>2.0</v>
      </c>
      <c r="E15" s="1" t="s">
        <v>11</v>
      </c>
      <c r="F15" s="7">
        <v>3.0</v>
      </c>
      <c r="G15" s="1" t="s">
        <v>11</v>
      </c>
      <c r="H15" s="7">
        <v>4.0</v>
      </c>
      <c r="I15" s="1" t="s">
        <v>11</v>
      </c>
      <c r="J15" s="7">
        <v>5.0</v>
      </c>
    </row>
    <row r="16">
      <c r="A16" s="8" t="s">
        <v>12</v>
      </c>
      <c r="B16" s="10">
        <v>19.7</v>
      </c>
      <c r="C16" s="8" t="s">
        <v>12</v>
      </c>
      <c r="D16" s="10">
        <v>34.3</v>
      </c>
      <c r="E16" s="8" t="s">
        <v>12</v>
      </c>
      <c r="F16" s="10">
        <v>45.6</v>
      </c>
      <c r="G16" s="8" t="s">
        <v>12</v>
      </c>
      <c r="H16" s="10">
        <v>54.3</v>
      </c>
      <c r="I16" s="8" t="s">
        <v>12</v>
      </c>
      <c r="J16" s="10">
        <v>61.1</v>
      </c>
    </row>
    <row r="17">
      <c r="A17" s="8" t="s">
        <v>13</v>
      </c>
      <c r="B17" s="10">
        <v>6.5</v>
      </c>
      <c r="C17" s="8" t="s">
        <v>13</v>
      </c>
      <c r="D17" s="10">
        <v>6.4</v>
      </c>
      <c r="E17" s="8" t="s">
        <v>13</v>
      </c>
      <c r="F17" s="10">
        <v>6.4</v>
      </c>
      <c r="G17" s="8" t="s">
        <v>13</v>
      </c>
      <c r="H17" s="10">
        <v>6.5</v>
      </c>
      <c r="I17" s="8" t="s">
        <v>13</v>
      </c>
      <c r="J17" s="10">
        <v>6.5</v>
      </c>
    </row>
    <row r="18">
      <c r="A18" s="8" t="s">
        <v>14</v>
      </c>
      <c r="B18" s="10">
        <v>20.0</v>
      </c>
      <c r="C18" s="8" t="s">
        <v>14</v>
      </c>
      <c r="D18" s="10">
        <v>20.0</v>
      </c>
      <c r="E18" s="8" t="s">
        <v>14</v>
      </c>
      <c r="F18" s="10">
        <v>20.0</v>
      </c>
      <c r="G18" s="8" t="s">
        <v>14</v>
      </c>
      <c r="H18" s="10">
        <v>20.0</v>
      </c>
      <c r="I18" s="8" t="s">
        <v>14</v>
      </c>
      <c r="J18" s="10">
        <v>20.0</v>
      </c>
    </row>
    <row r="19">
      <c r="A19" s="1" t="s">
        <v>15</v>
      </c>
      <c r="B19" s="1" t="s">
        <v>16</v>
      </c>
      <c r="C19" s="1" t="s">
        <v>15</v>
      </c>
      <c r="D19" s="1" t="s">
        <v>16</v>
      </c>
      <c r="E19" s="1" t="s">
        <v>15</v>
      </c>
      <c r="F19" s="1" t="s">
        <v>16</v>
      </c>
      <c r="G19" s="1" t="s">
        <v>15</v>
      </c>
      <c r="H19" s="1" t="s">
        <v>16</v>
      </c>
      <c r="I19" s="1" t="s">
        <v>15</v>
      </c>
      <c r="J19" s="1" t="s">
        <v>16</v>
      </c>
    </row>
    <row r="20">
      <c r="A20" s="13">
        <v>30.0</v>
      </c>
      <c r="B20" s="14">
        <v>0.027777777777777776</v>
      </c>
      <c r="C20" s="13">
        <v>30.0</v>
      </c>
      <c r="D20" s="14">
        <v>0.009722222222222222</v>
      </c>
      <c r="E20" s="13">
        <v>30.0</v>
      </c>
      <c r="F20" s="14">
        <v>0.002777777777777778</v>
      </c>
      <c r="G20" s="13">
        <v>30.0</v>
      </c>
      <c r="H20" s="14">
        <v>0.06041666666666667</v>
      </c>
      <c r="I20" s="13">
        <v>30.0</v>
      </c>
      <c r="J20" s="14">
        <v>0.034722222222222224</v>
      </c>
    </row>
    <row r="21">
      <c r="A21" s="13">
        <v>40.0</v>
      </c>
      <c r="B21" s="14">
        <v>0.09027777777777778</v>
      </c>
      <c r="C21" s="13">
        <v>40.0</v>
      </c>
      <c r="D21" s="14">
        <v>0.08888888888888889</v>
      </c>
      <c r="E21" s="13">
        <v>40.0</v>
      </c>
      <c r="F21" s="14">
        <v>0.058333333333333334</v>
      </c>
      <c r="G21" s="13">
        <v>40.0</v>
      </c>
      <c r="H21" s="14">
        <v>0.09513888888888888</v>
      </c>
      <c r="I21" s="13">
        <v>40.0</v>
      </c>
      <c r="J21" s="14">
        <v>0.07569444444444444</v>
      </c>
    </row>
    <row r="22">
      <c r="A22" s="13">
        <v>50.0</v>
      </c>
      <c r="B22" s="14">
        <v>0.17291666666666666</v>
      </c>
      <c r="C22" s="13">
        <v>50.0</v>
      </c>
      <c r="D22" s="14">
        <v>0.14375</v>
      </c>
      <c r="E22" s="13">
        <v>50.0</v>
      </c>
      <c r="F22" s="14">
        <v>0.10625</v>
      </c>
      <c r="G22" s="13">
        <v>50.0</v>
      </c>
      <c r="H22" s="14">
        <v>0.1326388888888889</v>
      </c>
      <c r="I22" s="13">
        <v>50.0</v>
      </c>
      <c r="J22" s="14">
        <v>0.1125</v>
      </c>
    </row>
    <row r="23">
      <c r="A23" s="13">
        <v>60.0</v>
      </c>
      <c r="B23" s="14">
        <v>0.2708333333333333</v>
      </c>
      <c r="C23" s="13">
        <v>60.0</v>
      </c>
      <c r="D23" s="14">
        <v>0.21597222222222223</v>
      </c>
      <c r="E23" s="13">
        <v>60.0</v>
      </c>
      <c r="F23" s="14">
        <v>0.1597222222222222</v>
      </c>
      <c r="G23" s="13">
        <v>60.0</v>
      </c>
      <c r="H23" s="14">
        <v>0.17291666666666666</v>
      </c>
      <c r="I23" s="13">
        <v>60.0</v>
      </c>
      <c r="J23" s="14">
        <v>0.15</v>
      </c>
    </row>
    <row r="24">
      <c r="A24" s="13">
        <v>70.0</v>
      </c>
      <c r="B24" s="14">
        <v>0.36527777777777776</v>
      </c>
      <c r="C24" s="13">
        <v>70.0</v>
      </c>
      <c r="D24" s="14">
        <v>0.2965277777777778</v>
      </c>
      <c r="E24" s="13">
        <v>70.0</v>
      </c>
      <c r="F24" s="14">
        <v>0.22013888888888888</v>
      </c>
      <c r="G24" s="13">
        <v>70.0</v>
      </c>
      <c r="H24" s="14">
        <v>0.22361111111111112</v>
      </c>
      <c r="I24" s="13">
        <v>70.0</v>
      </c>
      <c r="J24" s="14">
        <v>0.19444444444444445</v>
      </c>
    </row>
    <row r="25">
      <c r="A25" s="13">
        <v>80.0</v>
      </c>
      <c r="B25" s="14">
        <v>0.44930555555555557</v>
      </c>
      <c r="C25" s="13">
        <v>80.0</v>
      </c>
      <c r="D25" s="14">
        <v>0.3854166666666667</v>
      </c>
      <c r="E25" s="13">
        <v>80.0</v>
      </c>
      <c r="F25" s="14">
        <v>0.2902777777777778</v>
      </c>
      <c r="G25" s="13">
        <v>80.0</v>
      </c>
      <c r="H25" s="14">
        <v>0.2798611111111111</v>
      </c>
      <c r="I25" s="13">
        <v>80.0</v>
      </c>
      <c r="J25" s="14">
        <v>0.24791666666666667</v>
      </c>
    </row>
    <row r="26">
      <c r="A26" s="1"/>
      <c r="B26" s="1" t="s">
        <v>18</v>
      </c>
      <c r="C26" s="1"/>
      <c r="D26" s="1"/>
      <c r="E26" s="1"/>
      <c r="F26" s="1"/>
      <c r="G26" s="1"/>
      <c r="H26" s="1"/>
      <c r="I26" s="1"/>
      <c r="J26" s="1"/>
    </row>
    <row r="27">
      <c r="A27" s="1"/>
      <c r="B27" s="17" t="s">
        <v>19</v>
      </c>
      <c r="C27" s="19"/>
      <c r="D27" s="19"/>
      <c r="E27" s="1"/>
      <c r="F27" s="1"/>
      <c r="G27" s="1"/>
      <c r="H27" s="1"/>
      <c r="I27" s="1"/>
      <c r="J27" s="1"/>
    </row>
    <row r="29">
      <c r="A29" s="1" t="s">
        <v>11</v>
      </c>
      <c r="B29" s="7">
        <v>1.0</v>
      </c>
      <c r="C29" s="1" t="s">
        <v>11</v>
      </c>
      <c r="D29" s="7">
        <v>2.0</v>
      </c>
      <c r="E29" s="1" t="s">
        <v>11</v>
      </c>
      <c r="F29" s="7">
        <v>3.0</v>
      </c>
      <c r="G29" s="1" t="s">
        <v>11</v>
      </c>
      <c r="H29" s="7">
        <v>4.0</v>
      </c>
      <c r="I29" s="1" t="s">
        <v>11</v>
      </c>
      <c r="J29" s="7">
        <v>5.0</v>
      </c>
    </row>
    <row r="30">
      <c r="A30" s="8" t="s">
        <v>12</v>
      </c>
      <c r="B30" s="10">
        <v>18.9</v>
      </c>
      <c r="C30" s="8" t="s">
        <v>12</v>
      </c>
      <c r="D30" s="10">
        <v>33.5</v>
      </c>
      <c r="E30" s="8" t="s">
        <v>12</v>
      </c>
      <c r="F30" s="10">
        <v>44.5</v>
      </c>
      <c r="G30" s="8" t="s">
        <v>12</v>
      </c>
      <c r="H30" s="10">
        <v>56.4</v>
      </c>
      <c r="I30" s="8" t="s">
        <v>12</v>
      </c>
      <c r="J30" s="10">
        <v>61.2</v>
      </c>
    </row>
    <row r="31">
      <c r="A31" s="8" t="s">
        <v>13</v>
      </c>
      <c r="B31" s="10">
        <v>6.6</v>
      </c>
      <c r="C31" s="8" t="s">
        <v>13</v>
      </c>
      <c r="D31" s="10">
        <v>6.7</v>
      </c>
      <c r="E31" s="8" t="s">
        <v>13</v>
      </c>
      <c r="F31" s="10">
        <v>6.7</v>
      </c>
      <c r="G31" s="8" t="s">
        <v>13</v>
      </c>
      <c r="H31" s="10">
        <v>6.7</v>
      </c>
      <c r="I31" s="8" t="s">
        <v>13</v>
      </c>
      <c r="J31" s="10">
        <v>6.6</v>
      </c>
    </row>
    <row r="32">
      <c r="A32" s="8" t="s">
        <v>14</v>
      </c>
      <c r="B32" s="10">
        <v>20.0</v>
      </c>
      <c r="C32" s="8" t="s">
        <v>14</v>
      </c>
      <c r="D32" s="10">
        <v>20.0</v>
      </c>
      <c r="E32" s="8" t="s">
        <v>14</v>
      </c>
      <c r="F32" s="10">
        <v>20.0</v>
      </c>
      <c r="G32" s="8" t="s">
        <v>14</v>
      </c>
      <c r="H32" s="10">
        <v>20.0</v>
      </c>
      <c r="I32" s="8" t="s">
        <v>14</v>
      </c>
      <c r="J32" s="10">
        <v>20.0</v>
      </c>
    </row>
    <row r="33">
      <c r="A33" s="1" t="s">
        <v>15</v>
      </c>
      <c r="B33" s="1" t="s">
        <v>16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  <c r="I33" s="1" t="s">
        <v>15</v>
      </c>
      <c r="J33" s="1" t="s">
        <v>16</v>
      </c>
    </row>
    <row r="34">
      <c r="A34" s="13">
        <v>30.0</v>
      </c>
      <c r="B34" s="14">
        <v>0.0</v>
      </c>
      <c r="C34" s="13">
        <v>30.0</v>
      </c>
      <c r="D34" s="14">
        <v>0.0</v>
      </c>
      <c r="E34" s="13">
        <v>30.0</v>
      </c>
      <c r="F34" s="14">
        <v>0.0</v>
      </c>
      <c r="G34" s="13">
        <v>30.0</v>
      </c>
      <c r="H34" s="14">
        <v>0.0</v>
      </c>
      <c r="I34" s="13">
        <v>30.0</v>
      </c>
      <c r="J34" s="14">
        <v>0.0</v>
      </c>
    </row>
    <row r="35">
      <c r="A35" s="13">
        <v>40.0</v>
      </c>
      <c r="B35" s="14">
        <v>0.06527777777777778</v>
      </c>
      <c r="C35" s="13">
        <v>40.0</v>
      </c>
      <c r="D35" s="14">
        <v>0.043055555555555555</v>
      </c>
      <c r="E35" s="13">
        <v>40.0</v>
      </c>
      <c r="F35" s="14">
        <v>0.04097222222222222</v>
      </c>
      <c r="G35" s="13">
        <v>40.0</v>
      </c>
      <c r="H35" s="14">
        <v>0.0625</v>
      </c>
      <c r="I35" s="13">
        <v>40.0</v>
      </c>
      <c r="J35" s="14">
        <v>0.03888888888888889</v>
      </c>
    </row>
    <row r="36">
      <c r="A36" s="13">
        <v>50.0</v>
      </c>
      <c r="B36" s="14">
        <v>0.15763888888888888</v>
      </c>
      <c r="C36" s="13">
        <v>50.0</v>
      </c>
      <c r="D36" s="14">
        <v>0.09930555555555555</v>
      </c>
      <c r="E36" s="13">
        <v>50.0</v>
      </c>
      <c r="F36" s="14">
        <v>0.09444444444444444</v>
      </c>
      <c r="G36" s="13">
        <v>50.0</v>
      </c>
      <c r="H36" s="14">
        <v>0.1</v>
      </c>
      <c r="I36" s="13">
        <v>50.0</v>
      </c>
      <c r="J36" s="14">
        <v>0.075</v>
      </c>
    </row>
    <row r="37">
      <c r="A37" s="13">
        <v>60.0</v>
      </c>
      <c r="B37" s="14">
        <v>0.24722222222222223</v>
      </c>
      <c r="C37" s="13">
        <v>60.0</v>
      </c>
      <c r="D37" s="14">
        <v>0.1736111111111111</v>
      </c>
      <c r="E37" s="13">
        <v>60.0</v>
      </c>
      <c r="F37" s="14">
        <v>0.14097222222222222</v>
      </c>
      <c r="G37" s="13">
        <v>60.0</v>
      </c>
      <c r="H37" s="14">
        <v>0.14027777777777778</v>
      </c>
      <c r="I37" s="13">
        <v>60.0</v>
      </c>
      <c r="J37" s="14">
        <v>0.11527777777777778</v>
      </c>
    </row>
    <row r="38">
      <c r="A38" s="13">
        <v>70.0</v>
      </c>
      <c r="B38" s="14">
        <v>0.32013888888888886</v>
      </c>
      <c r="C38" s="13">
        <v>70.0</v>
      </c>
      <c r="D38" s="14">
        <v>0.24722222222222223</v>
      </c>
      <c r="E38" s="13">
        <v>70.0</v>
      </c>
      <c r="F38" s="14">
        <v>0.20416666666666666</v>
      </c>
      <c r="G38" s="13">
        <v>70.0</v>
      </c>
      <c r="H38" s="14">
        <v>0.18611111111111112</v>
      </c>
      <c r="I38" s="13">
        <v>70.0</v>
      </c>
      <c r="J38" s="14">
        <v>0.16041666666666668</v>
      </c>
    </row>
    <row r="39">
      <c r="A39" s="13">
        <v>80.0</v>
      </c>
      <c r="B39" s="14">
        <v>0.37777777777777777</v>
      </c>
      <c r="C39" s="13">
        <v>80.0</v>
      </c>
      <c r="D39" s="14">
        <v>0.34444444444444444</v>
      </c>
      <c r="E39" s="13">
        <v>80.0</v>
      </c>
      <c r="F39" s="14">
        <v>0.2777777777777778</v>
      </c>
      <c r="G39" s="13">
        <v>80.0</v>
      </c>
      <c r="H39" s="14">
        <v>0.24097222222222223</v>
      </c>
      <c r="I39" s="13">
        <v>80.0</v>
      </c>
      <c r="J39" s="14">
        <v>0.21458333333333332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8" t="s">
        <v>21</v>
      </c>
      <c r="B43" s="8"/>
      <c r="C43" s="8"/>
      <c r="D43" s="8"/>
      <c r="E43" s="8"/>
      <c r="F43" s="8"/>
      <c r="G43" s="8"/>
      <c r="H43" s="8"/>
      <c r="I43" s="8"/>
      <c r="J4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2" max="2" width="17.14"/>
    <col customWidth="1" min="7" max="7" width="18.29"/>
    <col customWidth="1" min="8" max="8" width="26.43"/>
    <col customWidth="1" min="9" max="13" width="21.57"/>
  </cols>
  <sheetData>
    <row r="1">
      <c r="A1" s="3" t="s">
        <v>2</v>
      </c>
      <c r="B1" s="3">
        <v>1.0</v>
      </c>
      <c r="C1" s="6">
        <v>2.0</v>
      </c>
      <c r="D1" s="3">
        <v>3.0</v>
      </c>
      <c r="E1" s="3">
        <v>4.0</v>
      </c>
      <c r="F1" s="3">
        <v>5.0</v>
      </c>
    </row>
    <row r="2">
      <c r="A2" s="3" t="s">
        <v>7</v>
      </c>
      <c r="B2" s="11">
        <f>average('Raw Data, combined groups'!B4,'Raw Data, combined groups'!B16,'Raw Data, combined groups'!B30)</f>
        <v>19.2</v>
      </c>
      <c r="C2" s="11">
        <f>average('Raw Data, combined groups'!D4,'Raw Data, combined groups'!D16,'Raw Data, combined groups'!D30)</f>
        <v>33.76666667</v>
      </c>
      <c r="D2" s="11">
        <f>average('Raw Data, combined groups'!F4,'Raw Data, combined groups'!F16,'Raw Data, combined groups'!F30)</f>
        <v>44.76666667</v>
      </c>
      <c r="E2" s="11">
        <f>average('Raw Data, combined groups'!H4,'Raw Data, combined groups'!H16,'Raw Data, combined groups'!H30)</f>
        <v>55.6</v>
      </c>
      <c r="F2" s="11">
        <f>average('Raw Data, combined groups'!J4,'Raw Data, combined groups'!J16,'Raw Data, combined groups'!J30)</f>
        <v>61.16666667</v>
      </c>
      <c r="H2" s="3"/>
      <c r="I2" s="15"/>
      <c r="J2" s="15"/>
      <c r="K2" s="15"/>
      <c r="L2" s="15"/>
      <c r="M2" s="15"/>
    </row>
    <row r="3">
      <c r="A3" s="3" t="s">
        <v>17</v>
      </c>
      <c r="B3" s="16">
        <f>STDEV('Raw Data, combined groups'!B4,'Raw Data, combined groups'!B16,'Raw Data, combined groups'!B30)</f>
        <v>0.4358898944</v>
      </c>
      <c r="C3" s="18">
        <f>STDEV('Raw Data, combined groups'!D4,'Raw Data, combined groups'!D16,'Raw Data, combined groups'!D30)</f>
        <v>0.4618802154</v>
      </c>
      <c r="D3" s="18">
        <f>STDEV('Raw Data, combined groups'!F4,'Raw Data, combined groups'!F16,'Raw Data, combined groups'!F30)</f>
        <v>0.7371114796</v>
      </c>
      <c r="E3" s="18">
        <f>STDEV('Raw Data, combined groups'!H4,'Raw Data, combined groups'!H16,'Raw Data, combined groups'!H30)</f>
        <v>1.135781669</v>
      </c>
      <c r="F3" s="18">
        <f>STDEV('Raw Data, combined groups'!J4,'Raw Data, combined groups'!J16,'Raw Data, combined groups'!J30)</f>
        <v>0.05773502692</v>
      </c>
      <c r="H3" s="3" t="s">
        <v>20</v>
      </c>
      <c r="I3" s="15">
        <f t="shared" ref="I3:M3" si="1">B2*11/60</f>
        <v>3.52</v>
      </c>
      <c r="J3" s="15">
        <f t="shared" si="1"/>
        <v>6.190555556</v>
      </c>
      <c r="K3" s="15">
        <f t="shared" si="1"/>
        <v>8.207222222</v>
      </c>
      <c r="L3" s="15">
        <f t="shared" si="1"/>
        <v>10.19333333</v>
      </c>
      <c r="M3" s="15">
        <f t="shared" si="1"/>
        <v>11.21388889</v>
      </c>
    </row>
    <row r="4">
      <c r="A4" s="3" t="s">
        <v>22</v>
      </c>
      <c r="B4" s="3">
        <f>average('Raw Data, combined groups'!B5,'Raw Data, combined groups'!B17,'Raw Data, combined groups'!B31)</f>
        <v>6.5</v>
      </c>
      <c r="C4" s="11">
        <f>average('Raw Data, combined groups'!D5,'Raw Data, combined groups'!D17,'Raw Data, combined groups'!D31)</f>
        <v>6.533333333</v>
      </c>
      <c r="D4" s="11">
        <f>average('Raw Data, combined groups'!F5,'Raw Data, combined groups'!F17,'Raw Data, combined groups'!F31)</f>
        <v>6.533333333</v>
      </c>
      <c r="E4" s="11">
        <f>average('Raw Data, combined groups'!H5,'Raw Data, combined groups'!H17,'Raw Data, combined groups'!H31)</f>
        <v>6.533333333</v>
      </c>
      <c r="F4" s="11">
        <f>average('Raw Data, combined groups'!J5,'Raw Data, combined groups'!J17,'Raw Data, combined groups'!J31)</f>
        <v>6.566666667</v>
      </c>
    </row>
    <row r="5">
      <c r="A5" s="3" t="s">
        <v>23</v>
      </c>
      <c r="B5" s="18">
        <f>STDEV('Raw Data, combined groups'!B5,'Raw Data, combined groups'!B17,'Raw Data, combined groups'!B31)</f>
        <v>0.1</v>
      </c>
      <c r="C5" s="18">
        <f>STDEV('Raw Data, combined groups'!D5,'Raw Data, combined groups'!D17,'Raw Data, combined groups'!D31)</f>
        <v>0.1527525232</v>
      </c>
      <c r="D5" s="18">
        <f>STDEV('Raw Data, combined groups'!F5,'Raw Data, combined groups'!F17,'Raw Data, combined groups'!F31)</f>
        <v>0.1527525232</v>
      </c>
      <c r="E5" s="18">
        <f>STDEV('Raw Data, combined groups'!H5,'Raw Data, combined groups'!H17,'Raw Data, combined groups'!H31)</f>
        <v>0.1527525232</v>
      </c>
      <c r="F5" s="18">
        <f>STDEV('Raw Data, combined groups'!J5,'Raw Data, combined groups'!J17,'Raw Data, combined groups'!J31)</f>
        <v>0.05773502692</v>
      </c>
    </row>
    <row r="6">
      <c r="A6" s="3" t="s">
        <v>24</v>
      </c>
      <c r="B6" s="11">
        <f>average('Raw Data, combined groups'!B6,'Raw Data, combined groups'!B18,'Raw Data, combined groups'!B32)</f>
        <v>20</v>
      </c>
      <c r="C6" s="11">
        <f>average('Raw Data, combined groups'!D6,'Raw Data, combined groups'!D18,'Raw Data, combined groups'!D32)</f>
        <v>20</v>
      </c>
      <c r="D6" s="11">
        <f>average('Raw Data, combined groups'!F6,'Raw Data, combined groups'!F18,'Raw Data, combined groups'!F32)</f>
        <v>20</v>
      </c>
      <c r="E6" s="11">
        <f>average('Raw Data, combined groups'!H6,'Raw Data, combined groups'!H18,'Raw Data, combined groups'!H32)</f>
        <v>20</v>
      </c>
      <c r="F6" s="11">
        <f>average('Raw Data, combined groups'!J6,'Raw Data, combined groups'!J18,'Raw Data, combined groups'!J32)</f>
        <v>20</v>
      </c>
    </row>
    <row r="7">
      <c r="A7" s="3" t="s">
        <v>25</v>
      </c>
      <c r="B7" s="3">
        <f>STDEV('Raw Data, combined groups'!B6,'Raw Data, combined groups'!B18,'Raw Data, combined groups'!B32)</f>
        <v>0</v>
      </c>
      <c r="C7" s="3">
        <f>STDEV('Raw Data, combined groups'!D6,'Raw Data, combined groups'!D18,'Raw Data, combined groups'!D32)</f>
        <v>0</v>
      </c>
      <c r="D7" s="3">
        <f>STDEV('Raw Data, combined groups'!F6,'Raw Data, combined groups'!F18,'Raw Data, combined groups'!F32)</f>
        <v>0</v>
      </c>
      <c r="E7" s="3">
        <f>STDEV('Raw Data, combined groups'!H6,'Raw Data, combined groups'!H18,'Raw Data, combined groups'!H32)</f>
        <v>0</v>
      </c>
      <c r="F7" s="3">
        <f>STDEV('Raw Data, combined groups'!J6,'Raw Data, combined groups'!J18,'Raw Data, combined groups'!J32)</f>
        <v>0</v>
      </c>
      <c r="I7" s="3" t="s">
        <v>26</v>
      </c>
      <c r="J7" s="3" t="s">
        <v>27</v>
      </c>
      <c r="K7" s="3" t="s">
        <v>28</v>
      </c>
      <c r="L7" s="3" t="s">
        <v>29</v>
      </c>
      <c r="M7" s="3" t="s">
        <v>30</v>
      </c>
    </row>
    <row r="8">
      <c r="A8" s="3" t="s">
        <v>31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/>
      <c r="H8" s="3"/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</row>
    <row r="9">
      <c r="A9" s="13">
        <v>30.0</v>
      </c>
      <c r="B9" s="20">
        <f>0*60</f>
        <v>0</v>
      </c>
      <c r="C9" s="20">
        <f t="shared" ref="C9:F9" si="2">0</f>
        <v>0</v>
      </c>
      <c r="D9">
        <f t="shared" si="2"/>
        <v>0</v>
      </c>
      <c r="E9">
        <f t="shared" si="2"/>
        <v>0</v>
      </c>
      <c r="F9">
        <f t="shared" si="2"/>
        <v>0</v>
      </c>
      <c r="I9" s="21">
        <f t="shared" ref="I9:M9" si="3">Average(B9,B15,B21)</f>
        <v>0</v>
      </c>
      <c r="J9" s="21">
        <f t="shared" si="3"/>
        <v>0</v>
      </c>
      <c r="K9" s="21">
        <f t="shared" si="3"/>
        <v>0</v>
      </c>
      <c r="L9" s="21">
        <f t="shared" si="3"/>
        <v>0</v>
      </c>
      <c r="M9" s="21">
        <f t="shared" si="3"/>
        <v>0</v>
      </c>
    </row>
    <row r="10">
      <c r="A10" s="13">
        <v>40.0</v>
      </c>
      <c r="B10" s="20">
        <f>1*60+50</f>
        <v>110</v>
      </c>
      <c r="C10" s="20">
        <f>1*60+14</f>
        <v>74</v>
      </c>
      <c r="D10">
        <f>1*60+1</f>
        <v>61</v>
      </c>
      <c r="E10">
        <f>1*60+30</f>
        <v>90</v>
      </c>
      <c r="F10">
        <f>53</f>
        <v>53</v>
      </c>
      <c r="I10" s="21">
        <f t="shared" ref="I10:M10" si="4">Average(B10,B16,B22)</f>
        <v>98</v>
      </c>
      <c r="J10" s="21">
        <f t="shared" si="4"/>
        <v>83.33333333</v>
      </c>
      <c r="K10" s="21">
        <f t="shared" si="4"/>
        <v>66.66666667</v>
      </c>
      <c r="L10" s="21">
        <f t="shared" si="4"/>
        <v>76.66666667</v>
      </c>
      <c r="M10" s="21">
        <f t="shared" si="4"/>
        <v>56</v>
      </c>
    </row>
    <row r="11">
      <c r="A11" s="13">
        <v>50.0</v>
      </c>
      <c r="B11" s="20">
        <f>4*60+1</f>
        <v>241</v>
      </c>
      <c r="C11" s="20">
        <f>2*60+38</f>
        <v>158</v>
      </c>
      <c r="D11">
        <f>2*60+10</f>
        <v>130</v>
      </c>
      <c r="E11">
        <f>2*60+27</f>
        <v>147</v>
      </c>
      <c r="F11">
        <f>1*60+44</f>
        <v>104</v>
      </c>
      <c r="I11" s="21">
        <f t="shared" ref="I11:M11" si="5">Average(B11,B17,B23)</f>
        <v>225.6666667</v>
      </c>
      <c r="J11" s="21">
        <f t="shared" si="5"/>
        <v>164.6666667</v>
      </c>
      <c r="K11" s="21">
        <f t="shared" si="5"/>
        <v>138.3333333</v>
      </c>
      <c r="L11" s="21">
        <f t="shared" si="5"/>
        <v>131.6666667</v>
      </c>
      <c r="M11" s="21">
        <f t="shared" si="5"/>
        <v>108</v>
      </c>
    </row>
    <row r="12">
      <c r="A12" s="13">
        <v>60.0</v>
      </c>
      <c r="B12" s="20">
        <f>60*6+23</f>
        <v>383</v>
      </c>
      <c r="C12" s="20">
        <f>4*60+12</f>
        <v>252</v>
      </c>
      <c r="D12">
        <f>3*60+45</f>
        <v>225</v>
      </c>
      <c r="E12">
        <f>3*60+27</f>
        <v>207</v>
      </c>
      <c r="F12">
        <f>2*60+39</f>
        <v>159</v>
      </c>
      <c r="I12" s="21">
        <f t="shared" ref="I12:M12" si="6">Average(B12,B18,B24)</f>
        <v>363</v>
      </c>
      <c r="J12" s="21">
        <f t="shared" si="6"/>
        <v>266.3333333</v>
      </c>
      <c r="K12" s="21">
        <f t="shared" si="6"/>
        <v>218</v>
      </c>
      <c r="L12" s="21">
        <f t="shared" si="6"/>
        <v>190.3333333</v>
      </c>
      <c r="M12" s="21">
        <f t="shared" si="6"/>
        <v>163.6666667</v>
      </c>
    </row>
    <row r="13">
      <c r="A13" s="13">
        <v>70.0</v>
      </c>
      <c r="B13" s="20">
        <f>60*8+38</f>
        <v>518</v>
      </c>
      <c r="C13" s="20">
        <f>5*60+59</f>
        <v>359</v>
      </c>
      <c r="D13" s="3">
        <f>4*60+55</f>
        <v>295</v>
      </c>
      <c r="E13">
        <f>4*60+27</f>
        <v>267</v>
      </c>
      <c r="F13">
        <f>3*60+43</f>
        <v>223</v>
      </c>
      <c r="I13" s="21">
        <f t="shared" ref="I13:M13" si="7">Average(B13,B19,B25)</f>
        <v>488.3333333</v>
      </c>
      <c r="J13" s="21">
        <f t="shared" si="7"/>
        <v>376</v>
      </c>
      <c r="K13" s="21">
        <f t="shared" si="7"/>
        <v>300.6666667</v>
      </c>
      <c r="L13" s="21">
        <f t="shared" si="7"/>
        <v>256.6666667</v>
      </c>
      <c r="M13" s="21">
        <f t="shared" si="7"/>
        <v>218</v>
      </c>
    </row>
    <row r="14">
      <c r="A14" s="22">
        <v>80.0</v>
      </c>
      <c r="B14" s="23">
        <f>10*60+44</f>
        <v>644</v>
      </c>
      <c r="C14" s="23">
        <f>8*60+6</f>
        <v>486</v>
      </c>
      <c r="D14" s="24">
        <f>6*60+34</f>
        <v>394</v>
      </c>
      <c r="E14" s="24">
        <f>5*60+51</f>
        <v>351</v>
      </c>
      <c r="F14" s="24">
        <f>4*60+57</f>
        <v>297</v>
      </c>
      <c r="G14" s="24"/>
      <c r="H14" s="24"/>
      <c r="I14" s="25">
        <f t="shared" ref="I14:M14" si="8">Average(B14,B20,B26)</f>
        <v>598.3333333</v>
      </c>
      <c r="J14" s="25">
        <f t="shared" si="8"/>
        <v>507.6666667</v>
      </c>
      <c r="K14" s="25">
        <f t="shared" si="8"/>
        <v>402.6666667</v>
      </c>
      <c r="L14" s="25">
        <f t="shared" si="8"/>
        <v>338</v>
      </c>
      <c r="M14" s="25">
        <f t="shared" si="8"/>
        <v>304.3333333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13">
        <v>30.0</v>
      </c>
      <c r="B15">
        <f t="shared" ref="B15:F15" si="9">0</f>
        <v>0</v>
      </c>
      <c r="C15">
        <f t="shared" si="9"/>
        <v>0</v>
      </c>
      <c r="D15">
        <f t="shared" si="9"/>
        <v>0</v>
      </c>
      <c r="E15">
        <f t="shared" si="9"/>
        <v>0</v>
      </c>
      <c r="F15">
        <f t="shared" si="9"/>
        <v>0</v>
      </c>
      <c r="I15" s="3" t="s">
        <v>34</v>
      </c>
      <c r="J15" s="3" t="s">
        <v>34</v>
      </c>
      <c r="K15" s="3" t="s">
        <v>34</v>
      </c>
      <c r="L15" s="3" t="s">
        <v>34</v>
      </c>
      <c r="M15" s="3" t="s">
        <v>34</v>
      </c>
    </row>
    <row r="16">
      <c r="A16" s="13">
        <v>40.0</v>
      </c>
      <c r="B16">
        <f>2*60+10-40</f>
        <v>90</v>
      </c>
      <c r="C16" s="26">
        <f>2*60+8-14</f>
        <v>114</v>
      </c>
      <c r="D16">
        <f>60*1+24-4</f>
        <v>80</v>
      </c>
      <c r="E16">
        <f>2*60+17-87</f>
        <v>50</v>
      </c>
      <c r="F16">
        <f>1*60+49-50</f>
        <v>59</v>
      </c>
      <c r="I16" s="21">
        <f t="shared" ref="I16:M16" si="10">stdev(B9,B15,B21)</f>
        <v>0</v>
      </c>
      <c r="J16" s="21">
        <f t="shared" si="10"/>
        <v>0</v>
      </c>
      <c r="K16" s="21">
        <f t="shared" si="10"/>
        <v>0</v>
      </c>
      <c r="L16" s="21">
        <f t="shared" si="10"/>
        <v>0</v>
      </c>
      <c r="M16" s="21">
        <f t="shared" si="10"/>
        <v>0</v>
      </c>
    </row>
    <row r="17">
      <c r="A17" s="13">
        <v>50.0</v>
      </c>
      <c r="B17">
        <f>4*60+9-40</f>
        <v>209</v>
      </c>
      <c r="C17" s="26">
        <f>3*60+27-14</f>
        <v>193</v>
      </c>
      <c r="D17">
        <f>2*60+33-4</f>
        <v>149</v>
      </c>
      <c r="E17">
        <f>3*60+11-87</f>
        <v>104</v>
      </c>
      <c r="F17">
        <f>2*60+42-50</f>
        <v>112</v>
      </c>
      <c r="I17" s="21">
        <f t="shared" ref="I17:M17" si="11">stdev(B10,B16,B22)</f>
        <v>10.58300524</v>
      </c>
      <c r="J17" s="21">
        <f t="shared" si="11"/>
        <v>27.22743714</v>
      </c>
      <c r="K17" s="21">
        <f t="shared" si="11"/>
        <v>11.59022577</v>
      </c>
      <c r="L17" s="21">
        <f t="shared" si="11"/>
        <v>23.09401077</v>
      </c>
      <c r="M17" s="21">
        <f t="shared" si="11"/>
        <v>3</v>
      </c>
    </row>
    <row r="18">
      <c r="A18" s="13">
        <v>60.0</v>
      </c>
      <c r="B18" s="3">
        <f>6*60+30-40</f>
        <v>350</v>
      </c>
      <c r="C18" s="26">
        <f>5*60+11-14</f>
        <v>297</v>
      </c>
      <c r="D18">
        <f>3*60+50-4</f>
        <v>226</v>
      </c>
      <c r="E18">
        <f>4*60+9-87</f>
        <v>162</v>
      </c>
      <c r="F18">
        <f>3*60+36-50</f>
        <v>166</v>
      </c>
      <c r="I18" s="21">
        <f t="shared" ref="I18:M18" si="12">stdev(B11,B17,B23)</f>
        <v>16.04161255</v>
      </c>
      <c r="J18" s="21">
        <f t="shared" si="12"/>
        <v>25.6580072</v>
      </c>
      <c r="K18" s="21">
        <f t="shared" si="12"/>
        <v>9.712534856</v>
      </c>
      <c r="L18" s="21">
        <f t="shared" si="12"/>
        <v>24.00694344</v>
      </c>
      <c r="M18" s="21">
        <f t="shared" si="12"/>
        <v>4</v>
      </c>
    </row>
    <row r="19">
      <c r="A19" s="13">
        <v>70.0</v>
      </c>
      <c r="B19">
        <f>8*60+46-40</f>
        <v>486</v>
      </c>
      <c r="C19" s="26">
        <f>7*60+7-14</f>
        <v>413</v>
      </c>
      <c r="D19">
        <f>5*60+17-4</f>
        <v>313</v>
      </c>
      <c r="E19">
        <f>5*60+22-87</f>
        <v>235</v>
      </c>
      <c r="F19">
        <f>4*60+40-50</f>
        <v>230</v>
      </c>
      <c r="I19" s="21">
        <f t="shared" ref="I19:M19" si="13">stdev(B12,B18,B24)</f>
        <v>17.57839583</v>
      </c>
      <c r="J19" s="21">
        <f t="shared" si="13"/>
        <v>26.57693235</v>
      </c>
      <c r="K19" s="21">
        <f t="shared" si="13"/>
        <v>13</v>
      </c>
      <c r="L19" s="21">
        <f t="shared" si="13"/>
        <v>24.66441431</v>
      </c>
      <c r="M19" s="21">
        <f t="shared" si="13"/>
        <v>4.041451884</v>
      </c>
    </row>
    <row r="20">
      <c r="A20" s="22">
        <v>80.0</v>
      </c>
      <c r="B20" s="24">
        <f>10*60+47-40</f>
        <v>607</v>
      </c>
      <c r="C20" s="27">
        <f>9*60+15-14</f>
        <v>541</v>
      </c>
      <c r="D20" s="24">
        <f>6*60+58-4</f>
        <v>414</v>
      </c>
      <c r="E20" s="24">
        <f>6*60+43-87</f>
        <v>316</v>
      </c>
      <c r="F20" s="24">
        <f>5*60+57-50</f>
        <v>307</v>
      </c>
      <c r="G20" s="24"/>
      <c r="I20" s="21">
        <f t="shared" ref="I20:M20" si="14">stdev(B13,B19,B25)</f>
        <v>28.57154762</v>
      </c>
      <c r="J20" s="21">
        <f t="shared" si="14"/>
        <v>32.07802986</v>
      </c>
      <c r="K20" s="21">
        <f t="shared" si="14"/>
        <v>10.69267662</v>
      </c>
      <c r="L20" s="21">
        <f t="shared" si="14"/>
        <v>18.7705443</v>
      </c>
      <c r="M20" s="21">
        <f t="shared" si="14"/>
        <v>15.13274595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13">
        <v>30.0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I21" s="21">
        <f t="shared" ref="I21:M21" si="15">stdev(B14,B20,B26)</f>
        <v>50.56019515</v>
      </c>
      <c r="J21" s="21">
        <f t="shared" si="15"/>
        <v>29.29732639</v>
      </c>
      <c r="K21" s="21">
        <f t="shared" si="15"/>
        <v>10.26320288</v>
      </c>
      <c r="L21" s="21">
        <f t="shared" si="15"/>
        <v>19.15724406</v>
      </c>
      <c r="M21" s="21">
        <f t="shared" si="15"/>
        <v>6.429100507</v>
      </c>
    </row>
    <row r="22">
      <c r="A22" s="13">
        <v>40.0</v>
      </c>
      <c r="B22">
        <f>1*60+34</f>
        <v>94</v>
      </c>
      <c r="C22" s="26">
        <f>1*60+2</f>
        <v>62</v>
      </c>
      <c r="D22">
        <f>59</f>
        <v>59</v>
      </c>
      <c r="E22">
        <f>1*60+30</f>
        <v>90</v>
      </c>
      <c r="F22">
        <f>56</f>
        <v>56</v>
      </c>
    </row>
    <row r="23">
      <c r="A23" s="13">
        <v>50.0</v>
      </c>
      <c r="B23">
        <f>3*60+47</f>
        <v>227</v>
      </c>
      <c r="C23" s="26">
        <f>2*60+23</f>
        <v>143</v>
      </c>
      <c r="D23">
        <f>2*60+16</f>
        <v>136</v>
      </c>
      <c r="E23">
        <f>2*60+24</f>
        <v>144</v>
      </c>
      <c r="F23">
        <f>1*60+48</f>
        <v>108</v>
      </c>
    </row>
    <row r="24">
      <c r="A24" s="13">
        <v>60.0</v>
      </c>
      <c r="B24">
        <f>5*60+56</f>
        <v>356</v>
      </c>
      <c r="C24" s="26">
        <f>4*60+10</f>
        <v>250</v>
      </c>
      <c r="D24">
        <f>3*60+23</f>
        <v>203</v>
      </c>
      <c r="E24">
        <f>3*60+22</f>
        <v>202</v>
      </c>
      <c r="F24">
        <f>2*60+46</f>
        <v>166</v>
      </c>
    </row>
    <row r="25">
      <c r="A25" s="13">
        <v>70.0</v>
      </c>
      <c r="B25">
        <f>7*60+41</f>
        <v>461</v>
      </c>
      <c r="C25" s="26">
        <f>5*60+56</f>
        <v>356</v>
      </c>
      <c r="D25">
        <f>4*60+54</f>
        <v>294</v>
      </c>
      <c r="E25">
        <f>4*60+28</f>
        <v>268</v>
      </c>
      <c r="F25">
        <f>3*50+51</f>
        <v>201</v>
      </c>
    </row>
    <row r="26">
      <c r="A26" s="13">
        <v>80.0</v>
      </c>
      <c r="B26">
        <f>9*60+4</f>
        <v>544</v>
      </c>
      <c r="C26" s="26">
        <f>8*60+16</f>
        <v>496</v>
      </c>
      <c r="D26">
        <f>6*60+40</f>
        <v>400</v>
      </c>
      <c r="E26">
        <f>5*60+47</f>
        <v>347</v>
      </c>
      <c r="F26">
        <f>5*60+9</f>
        <v>309</v>
      </c>
    </row>
    <row r="27">
      <c r="C27" s="28"/>
    </row>
    <row r="28">
      <c r="A28" s="3" t="s">
        <v>35</v>
      </c>
      <c r="B28">
        <f t="shared" ref="B28:F28" si="16">B2/60</f>
        <v>0.32</v>
      </c>
      <c r="C28">
        <f t="shared" si="16"/>
        <v>0.5627777778</v>
      </c>
      <c r="D28">
        <f t="shared" si="16"/>
        <v>0.7461111111</v>
      </c>
      <c r="E28">
        <f t="shared" si="16"/>
        <v>0.9266666667</v>
      </c>
      <c r="F28">
        <f t="shared" si="16"/>
        <v>1.019444444</v>
      </c>
    </row>
    <row r="30">
      <c r="A30" s="3" t="s">
        <v>36</v>
      </c>
      <c r="B30" s="3">
        <v>25.0</v>
      </c>
      <c r="C30" s="11">
        <v>30.0</v>
      </c>
      <c r="D30" s="3">
        <v>40.0</v>
      </c>
      <c r="E30" s="3">
        <v>50.0</v>
      </c>
      <c r="F30" s="3">
        <v>60.0</v>
      </c>
      <c r="G30" s="3">
        <v>70.0</v>
      </c>
      <c r="H30" s="3">
        <v>80.0</v>
      </c>
    </row>
    <row r="31">
      <c r="A31" s="29" t="s">
        <v>37</v>
      </c>
      <c r="B31" s="29">
        <v>7.2229</v>
      </c>
      <c r="C31" s="30">
        <v>7.0565</v>
      </c>
      <c r="D31" s="29">
        <v>6.9605</v>
      </c>
      <c r="E31" s="29">
        <v>6.7175</v>
      </c>
      <c r="F31" s="29">
        <v>5.9402</v>
      </c>
      <c r="G31" s="29">
        <v>1.9885</v>
      </c>
      <c r="H31" s="3">
        <v>1.4496</v>
      </c>
    </row>
    <row r="32">
      <c r="A32" s="29" t="s">
        <v>38</v>
      </c>
      <c r="B32" s="29">
        <v>0.1816</v>
      </c>
      <c r="C32" s="30">
        <v>0.1804</v>
      </c>
      <c r="D32" s="29">
        <v>0.1759</v>
      </c>
      <c r="E32" s="29">
        <v>0.1737</v>
      </c>
      <c r="F32" s="29">
        <v>0.1791</v>
      </c>
      <c r="G32" s="29">
        <v>0.2872</v>
      </c>
      <c r="H32" s="3">
        <v>0.3255</v>
      </c>
    </row>
    <row r="33">
      <c r="A33" s="31" t="s">
        <v>39</v>
      </c>
      <c r="B33" s="32">
        <v>1050.0</v>
      </c>
      <c r="C33" s="33" t="s">
        <v>40</v>
      </c>
    </row>
    <row r="34">
      <c r="A34" s="31" t="s">
        <v>41</v>
      </c>
      <c r="B34" s="32">
        <v>4310.0</v>
      </c>
      <c r="C34" s="33" t="s">
        <v>42</v>
      </c>
    </row>
    <row r="35">
      <c r="A35" s="31" t="s">
        <v>43</v>
      </c>
      <c r="B35" s="32">
        <v>0.258</v>
      </c>
      <c r="C35" s="33" t="s">
        <v>44</v>
      </c>
    </row>
    <row r="36">
      <c r="A36" s="3"/>
      <c r="B36" s="3"/>
      <c r="C36" s="11"/>
    </row>
    <row r="37">
      <c r="A37" s="3" t="s">
        <v>35</v>
      </c>
      <c r="B37">
        <f t="shared" ref="B37:F37" si="17">B2/60</f>
        <v>0.32</v>
      </c>
      <c r="C37">
        <f t="shared" si="17"/>
        <v>0.5627777778</v>
      </c>
      <c r="D37">
        <f t="shared" si="17"/>
        <v>0.7461111111</v>
      </c>
      <c r="E37">
        <f t="shared" si="17"/>
        <v>0.9266666667</v>
      </c>
      <c r="F37">
        <f t="shared" si="17"/>
        <v>1.019444444</v>
      </c>
    </row>
    <row r="38">
      <c r="A38" s="3" t="s">
        <v>45</v>
      </c>
      <c r="B38" s="3"/>
    </row>
    <row r="39">
      <c r="A39" s="3">
        <v>30.0</v>
      </c>
      <c r="B39">
        <f t="shared" ref="B39:F39" si="18">$C$31*(11*B28)^($C$32-1)</f>
        <v>2.515608068</v>
      </c>
      <c r="C39">
        <f t="shared" si="18"/>
        <v>1.583754073</v>
      </c>
      <c r="D39">
        <f t="shared" si="18"/>
        <v>1.25693884</v>
      </c>
      <c r="E39">
        <f t="shared" si="18"/>
        <v>1.052381892</v>
      </c>
      <c r="F39">
        <f t="shared" si="18"/>
        <v>0.9732157405</v>
      </c>
      <c r="G39" s="34" t="s">
        <v>46</v>
      </c>
    </row>
    <row r="40">
      <c r="A40" s="3">
        <v>40.0</v>
      </c>
      <c r="B40">
        <f t="shared" ref="B40:F40" si="19">$D$31*(11*B28)^($D$32-1)</f>
        <v>2.467371982</v>
      </c>
      <c r="C40">
        <f t="shared" si="19"/>
        <v>1.549444603</v>
      </c>
      <c r="D40">
        <f t="shared" si="19"/>
        <v>1.228149838</v>
      </c>
      <c r="E40">
        <f t="shared" si="19"/>
        <v>1.027275749</v>
      </c>
      <c r="F40">
        <f t="shared" si="19"/>
        <v>0.9495903954</v>
      </c>
    </row>
    <row r="41">
      <c r="A41" s="3">
        <v>50.0</v>
      </c>
      <c r="B41">
        <f t="shared" ref="B41:F41" si="20">$E$31*(11*B28)^($E$32-1)</f>
        <v>2.374649258</v>
      </c>
      <c r="C41">
        <f t="shared" si="20"/>
        <v>1.489366172</v>
      </c>
      <c r="D41">
        <f t="shared" si="20"/>
        <v>1.1797972</v>
      </c>
      <c r="E41">
        <f t="shared" si="20"/>
        <v>0.9863611931</v>
      </c>
      <c r="F41">
        <f t="shared" si="20"/>
        <v>0.9115785278</v>
      </c>
    </row>
    <row r="42">
      <c r="A42" s="3">
        <v>60.0</v>
      </c>
      <c r="B42">
        <f t="shared" ref="B42:F42" si="21">$F$31*(11*B28)^($F$32-1)</f>
        <v>2.11419088</v>
      </c>
      <c r="C42">
        <f t="shared" si="21"/>
        <v>1.330056892</v>
      </c>
      <c r="D42">
        <f t="shared" si="21"/>
        <v>1.055206391</v>
      </c>
      <c r="E42">
        <f t="shared" si="21"/>
        <v>0.8832309462</v>
      </c>
      <c r="F42">
        <f t="shared" si="21"/>
        <v>0.8166879786</v>
      </c>
    </row>
    <row r="43">
      <c r="A43" s="3">
        <v>70.0</v>
      </c>
      <c r="B43">
        <f t="shared" ref="B43:F43" si="22">$G$31*(11*B28)^($G$32-1)</f>
        <v>0.8108676695</v>
      </c>
      <c r="C43">
        <f t="shared" si="22"/>
        <v>0.5422264744</v>
      </c>
      <c r="D43">
        <f t="shared" si="22"/>
        <v>0.4434927751</v>
      </c>
      <c r="E43">
        <f t="shared" si="22"/>
        <v>0.3800124184</v>
      </c>
      <c r="F43">
        <f t="shared" si="22"/>
        <v>0.3550253312</v>
      </c>
    </row>
    <row r="44">
      <c r="A44" s="3">
        <v>80.0</v>
      </c>
      <c r="B44">
        <f t="shared" ref="B44:F44" si="23">$H$31*(11*B28)^($H$32-1)</f>
        <v>0.6203048172</v>
      </c>
      <c r="C44">
        <f t="shared" si="23"/>
        <v>0.4238640154</v>
      </c>
      <c r="D44">
        <f t="shared" si="23"/>
        <v>0.3504474049</v>
      </c>
      <c r="E44">
        <f t="shared" si="23"/>
        <v>0.3027881578</v>
      </c>
      <c r="F44">
        <f t="shared" si="23"/>
        <v>0.2839145114</v>
      </c>
    </row>
    <row r="46">
      <c r="A46" s="3" t="s">
        <v>47</v>
      </c>
      <c r="B46" s="3">
        <f>26*0.0254</f>
        <v>0.6604</v>
      </c>
      <c r="C46" s="28"/>
    </row>
    <row r="47">
      <c r="A47" s="3" t="s">
        <v>48</v>
      </c>
      <c r="B47">
        <f>21*0.0254</f>
        <v>0.5334</v>
      </c>
    </row>
    <row r="48">
      <c r="A48" s="3" t="s">
        <v>49</v>
      </c>
      <c r="B48">
        <f>19*0.0254</f>
        <v>0.4826</v>
      </c>
    </row>
    <row r="50">
      <c r="A50" s="3" t="s">
        <v>35</v>
      </c>
      <c r="B50">
        <f t="shared" ref="B50:F50" si="24">B2/60</f>
        <v>0.32</v>
      </c>
      <c r="C50">
        <f t="shared" si="24"/>
        <v>0.5627777778</v>
      </c>
      <c r="D50">
        <f t="shared" si="24"/>
        <v>0.7461111111</v>
      </c>
      <c r="E50">
        <f t="shared" si="24"/>
        <v>0.9266666667</v>
      </c>
      <c r="F50">
        <f t="shared" si="24"/>
        <v>1.019444444</v>
      </c>
    </row>
    <row r="51">
      <c r="A51" s="3" t="s">
        <v>45</v>
      </c>
      <c r="C51" s="28"/>
    </row>
    <row r="52">
      <c r="A52" s="29">
        <v>30.0</v>
      </c>
      <c r="B52" s="35">
        <f t="shared" ref="B52:B57" si="25">0.5334^2*$B$50*1050/B39</f>
        <v>38.0016384</v>
      </c>
      <c r="C52" s="35">
        <f t="shared" ref="C52:C57" si="26">0.5334^2*$C$50*1050/C39</f>
        <v>106.155993</v>
      </c>
      <c r="D52" s="35">
        <f t="shared" ref="D52:D57" si="27">0.5334^2*$D$50*1050/D39</f>
        <v>177.3310081</v>
      </c>
      <c r="E52" s="35">
        <f t="shared" ref="E52:E57" si="28">0.5334^2*$E$50*1050/E39</f>
        <v>263.054355</v>
      </c>
      <c r="F52" s="35">
        <f t="shared" ref="F52:F57" si="29">0.5334^2*$F$50*1050/F39</f>
        <v>312.9318451</v>
      </c>
      <c r="G52" s="34" t="s">
        <v>50</v>
      </c>
    </row>
    <row r="53">
      <c r="A53" s="3">
        <v>40.0</v>
      </c>
      <c r="B53">
        <f t="shared" si="25"/>
        <v>38.74455447</v>
      </c>
      <c r="C53">
        <f t="shared" si="26"/>
        <v>108.5066133</v>
      </c>
      <c r="D53">
        <f t="shared" si="27"/>
        <v>181.4878158</v>
      </c>
      <c r="E53">
        <f t="shared" si="28"/>
        <v>269.4832816</v>
      </c>
      <c r="F53">
        <f t="shared" si="29"/>
        <v>320.7174365</v>
      </c>
    </row>
    <row r="54">
      <c r="A54" s="3">
        <v>50.0</v>
      </c>
      <c r="B54">
        <f t="shared" si="25"/>
        <v>40.25740973</v>
      </c>
      <c r="C54">
        <f t="shared" si="26"/>
        <v>112.8835806</v>
      </c>
      <c r="D54">
        <f t="shared" si="27"/>
        <v>188.9258863</v>
      </c>
      <c r="E54">
        <f t="shared" si="28"/>
        <v>280.6615283</v>
      </c>
      <c r="F54">
        <f t="shared" si="29"/>
        <v>334.0910169</v>
      </c>
    </row>
    <row r="55">
      <c r="A55" s="3">
        <v>60.0</v>
      </c>
      <c r="B55">
        <f t="shared" si="25"/>
        <v>45.21693338</v>
      </c>
      <c r="C55">
        <f t="shared" si="26"/>
        <v>126.4043571</v>
      </c>
      <c r="D55">
        <f t="shared" si="27"/>
        <v>211.2328295</v>
      </c>
      <c r="E55">
        <f t="shared" si="28"/>
        <v>313.4329035</v>
      </c>
      <c r="F55">
        <f t="shared" si="29"/>
        <v>372.9088775</v>
      </c>
    </row>
    <row r="56">
      <c r="A56" s="3">
        <v>70.0</v>
      </c>
      <c r="B56">
        <f t="shared" si="25"/>
        <v>117.8949806</v>
      </c>
      <c r="C56">
        <f t="shared" si="26"/>
        <v>310.0641416</v>
      </c>
      <c r="D56">
        <f t="shared" si="27"/>
        <v>502.5881912</v>
      </c>
      <c r="E56">
        <f t="shared" si="28"/>
        <v>728.4857716</v>
      </c>
      <c r="F56">
        <f t="shared" si="29"/>
        <v>857.8266691</v>
      </c>
    </row>
    <row r="57">
      <c r="A57" s="3">
        <v>80.0</v>
      </c>
      <c r="B57">
        <f t="shared" si="25"/>
        <v>154.1133093</v>
      </c>
      <c r="C57">
        <f t="shared" si="26"/>
        <v>396.6484066</v>
      </c>
      <c r="D57">
        <f t="shared" si="27"/>
        <v>636.0276279</v>
      </c>
      <c r="E57">
        <f t="shared" si="28"/>
        <v>914.2815951</v>
      </c>
      <c r="F57">
        <f t="shared" si="29"/>
        <v>1072.682745</v>
      </c>
    </row>
    <row r="58">
      <c r="C58" s="28"/>
    </row>
    <row r="59">
      <c r="A59" s="3" t="s">
        <v>35</v>
      </c>
      <c r="B59">
        <f t="shared" ref="B59:F59" si="30">B2/60</f>
        <v>0.32</v>
      </c>
      <c r="C59">
        <f t="shared" si="30"/>
        <v>0.5627777778</v>
      </c>
      <c r="D59">
        <f t="shared" si="30"/>
        <v>0.7461111111</v>
      </c>
      <c r="E59">
        <f t="shared" si="30"/>
        <v>0.9266666667</v>
      </c>
      <c r="F59">
        <f t="shared" si="30"/>
        <v>1.019444444</v>
      </c>
    </row>
    <row r="60">
      <c r="A60" s="29" t="s">
        <v>51</v>
      </c>
      <c r="B60" s="35">
        <f t="shared" ref="B60:F60" si="31">B4/(1050*B59^3*0.5334^5)</f>
        <v>4.375312385</v>
      </c>
      <c r="C60" s="35">
        <f t="shared" si="31"/>
        <v>0.8084806686</v>
      </c>
      <c r="D60" s="35">
        <f t="shared" si="31"/>
        <v>0.3469524336</v>
      </c>
      <c r="E60" s="35">
        <f t="shared" si="31"/>
        <v>0.1810964084</v>
      </c>
      <c r="F60" s="35">
        <f t="shared" si="31"/>
        <v>0.1367098873</v>
      </c>
      <c r="G60" s="3" t="s">
        <v>52</v>
      </c>
    </row>
    <row r="61">
      <c r="A61" s="3" t="s">
        <v>53</v>
      </c>
      <c r="C61" s="28"/>
    </row>
    <row r="62">
      <c r="A62" s="36"/>
      <c r="B62" s="36"/>
      <c r="C62" s="36"/>
      <c r="D62" s="36"/>
      <c r="E62" s="36"/>
      <c r="F62" s="36"/>
      <c r="G62" s="37"/>
    </row>
    <row r="64">
      <c r="A64" s="3" t="s">
        <v>54</v>
      </c>
    </row>
    <row r="65">
      <c r="A65" s="3" t="s">
        <v>45</v>
      </c>
    </row>
    <row r="66">
      <c r="A66" s="3">
        <v>30.0</v>
      </c>
      <c r="B66" s="3">
        <v>50.0</v>
      </c>
      <c r="C66" s="11">
        <v>35.0</v>
      </c>
      <c r="D66" s="3">
        <v>30.0</v>
      </c>
      <c r="E66" s="3">
        <v>25.0</v>
      </c>
      <c r="F66" s="3">
        <v>20.0</v>
      </c>
      <c r="G66" s="34" t="s">
        <v>55</v>
      </c>
    </row>
    <row r="67">
      <c r="A67" s="3">
        <v>80.0</v>
      </c>
      <c r="B67" s="3">
        <v>30.0</v>
      </c>
      <c r="C67" s="3">
        <v>20.0</v>
      </c>
      <c r="D67" s="3">
        <v>15.0</v>
      </c>
      <c r="E67" s="3">
        <v>9.0</v>
      </c>
      <c r="F67" s="3">
        <v>8.0</v>
      </c>
    </row>
    <row r="68">
      <c r="A68" s="3"/>
    </row>
    <row r="69">
      <c r="A69" s="29">
        <v>30.0</v>
      </c>
      <c r="B69" s="35">
        <f t="shared" ref="B69:F69" si="32">(B66*($B$48)^(1/2)*$B$46^(3/2))/(B59^(2/3)*$B$47^(4/3)*9.81^(1/16)*$B$47^(1/2))</f>
        <v>109.3447092</v>
      </c>
      <c r="C69" s="35">
        <f t="shared" si="32"/>
        <v>52.53368182</v>
      </c>
      <c r="D69" s="35">
        <f t="shared" si="32"/>
        <v>37.31184044</v>
      </c>
      <c r="E69" s="35">
        <f t="shared" si="32"/>
        <v>26.91031221</v>
      </c>
      <c r="F69" s="35">
        <f t="shared" si="32"/>
        <v>20.20142669</v>
      </c>
      <c r="G69" s="34" t="s">
        <v>56</v>
      </c>
    </row>
    <row r="70" ht="23.25" customHeight="1">
      <c r="A70" s="29">
        <v>80.0</v>
      </c>
      <c r="B70" s="35">
        <f t="shared" ref="B70:F70" si="33">(B67*($B$48)^(1/2)*$B$46^(3/2))/(B59^(2/3)*$B$47^(4/3)*9.81^(1/16)*$B$47^(1/2))</f>
        <v>65.60682553</v>
      </c>
      <c r="C70" s="35">
        <f t="shared" si="33"/>
        <v>30.01924676</v>
      </c>
      <c r="D70" s="35">
        <f t="shared" si="33"/>
        <v>18.65592022</v>
      </c>
      <c r="E70" s="35">
        <f t="shared" si="33"/>
        <v>9.687712396</v>
      </c>
      <c r="F70" s="35">
        <f t="shared" si="33"/>
        <v>8.080570678</v>
      </c>
    </row>
    <row r="71">
      <c r="G71" s="3" t="s">
        <v>57</v>
      </c>
    </row>
    <row r="72">
      <c r="A72" s="3" t="s">
        <v>58</v>
      </c>
      <c r="B72" s="3">
        <v>10000.0</v>
      </c>
      <c r="C72" s="38" t="s">
        <v>59</v>
      </c>
    </row>
    <row r="73">
      <c r="A73" s="3" t="s">
        <v>60</v>
      </c>
    </row>
    <row r="74">
      <c r="A74" s="3" t="s">
        <v>61</v>
      </c>
      <c r="B74" s="3">
        <v>0.0012</v>
      </c>
      <c r="C74" s="39">
        <v>0.0015</v>
      </c>
      <c r="D74" s="3">
        <v>0.0018</v>
      </c>
      <c r="E74" s="3">
        <v>0.0022</v>
      </c>
      <c r="F74" s="3">
        <v>0.0025</v>
      </c>
    </row>
    <row r="75">
      <c r="A75" s="3" t="s">
        <v>62</v>
      </c>
      <c r="B75">
        <f t="shared" ref="B75:F75" si="34">B2/60</f>
        <v>0.32</v>
      </c>
      <c r="C75" s="40">
        <f t="shared" si="34"/>
        <v>0.5627777778</v>
      </c>
      <c r="D75" s="40">
        <f t="shared" si="34"/>
        <v>0.7461111111</v>
      </c>
      <c r="E75" s="40">
        <f t="shared" si="34"/>
        <v>0.9266666667</v>
      </c>
      <c r="F75" s="40">
        <f t="shared" si="34"/>
        <v>1.019444444</v>
      </c>
    </row>
    <row r="76">
      <c r="A76" s="29" t="s">
        <v>63</v>
      </c>
      <c r="B76" s="29">
        <f t="shared" ref="B76:F76" si="35">(B74*$B$33*(4/3*pi()*($B$46/2)^3)*$B$34)/(4*pi()*($B$46/2)^2)</f>
        <v>597.72804</v>
      </c>
      <c r="C76" s="29">
        <f t="shared" si="35"/>
        <v>747.16005</v>
      </c>
      <c r="D76" s="29">
        <f t="shared" si="35"/>
        <v>896.59206</v>
      </c>
      <c r="E76" s="29">
        <f t="shared" si="35"/>
        <v>1095.83474</v>
      </c>
      <c r="F76" s="29">
        <f t="shared" si="35"/>
        <v>1245.26675</v>
      </c>
    </row>
    <row r="77">
      <c r="A77" s="3" t="s">
        <v>64</v>
      </c>
      <c r="B77">
        <f t="shared" ref="B77:F77" si="36">1/(1/B76-1/$B$72)</f>
        <v>635.7272397</v>
      </c>
      <c r="C77">
        <f t="shared" si="36"/>
        <v>807.4926769</v>
      </c>
      <c r="D77">
        <f t="shared" si="36"/>
        <v>984.8971571</v>
      </c>
      <c r="E77">
        <f t="shared" si="36"/>
        <v>1230.699013</v>
      </c>
      <c r="F77">
        <f t="shared" si="36"/>
        <v>1422.392567</v>
      </c>
    </row>
    <row r="78">
      <c r="A78" s="3" t="s">
        <v>65</v>
      </c>
      <c r="B78">
        <f t="shared" ref="B78:F78" si="37">B77*$B$46/$B$35</f>
        <v>1627.264609</v>
      </c>
      <c r="C78">
        <f t="shared" si="37"/>
        <v>2066.930867</v>
      </c>
      <c r="D78">
        <f t="shared" si="37"/>
        <v>2521.031328</v>
      </c>
      <c r="E78">
        <f t="shared" si="37"/>
        <v>3150.207862</v>
      </c>
      <c r="F78">
        <f t="shared" si="37"/>
        <v>3640.883919</v>
      </c>
    </row>
    <row r="79">
      <c r="A79" s="3" t="s">
        <v>66</v>
      </c>
      <c r="B79" s="41">
        <f>SUM(B43:B44)/2</f>
        <v>0.7155862433</v>
      </c>
      <c r="C79" s="28"/>
    </row>
    <row r="80">
      <c r="A80" s="3" t="s">
        <v>67</v>
      </c>
      <c r="B80">
        <f t="shared" ref="B80:F80" si="38">B52*($B$34*$B$39/$B$35)^(1/3)*($B$39/$B$79)^(0.21)</f>
        <v>1720.383141</v>
      </c>
      <c r="C80">
        <f t="shared" si="38"/>
        <v>4805.818601</v>
      </c>
      <c r="D80">
        <f t="shared" si="38"/>
        <v>8028.003254</v>
      </c>
      <c r="E80">
        <f t="shared" si="38"/>
        <v>11908.80964</v>
      </c>
      <c r="F80">
        <f t="shared" si="38"/>
        <v>14166.82788</v>
      </c>
    </row>
    <row r="81">
      <c r="A81" s="29" t="s">
        <v>68</v>
      </c>
      <c r="B81" s="29">
        <v>0.3695</v>
      </c>
      <c r="C81" s="28"/>
    </row>
    <row r="82">
      <c r="A82" s="29" t="s">
        <v>69</v>
      </c>
      <c r="B82" s="35">
        <f>EXP(5.9904)/((($B$34*$B$39/$B$35)^(1/3))*(($B$39/$B$79)^(0.21)))</f>
        <v>8.826221203</v>
      </c>
      <c r="C82" s="28"/>
    </row>
    <row r="83">
      <c r="A83" s="3" t="s">
        <v>70</v>
      </c>
      <c r="B83">
        <f t="shared" ref="B83:F83" si="39">ln(B78)</f>
        <v>7.39465573</v>
      </c>
      <c r="C83">
        <f t="shared" si="39"/>
        <v>7.633820113</v>
      </c>
      <c r="D83">
        <f t="shared" si="39"/>
        <v>7.832423354</v>
      </c>
      <c r="E83">
        <f t="shared" si="39"/>
        <v>8.055223718</v>
      </c>
      <c r="F83">
        <f t="shared" si="39"/>
        <v>8.199981766</v>
      </c>
    </row>
    <row r="84">
      <c r="A84" s="3" t="s">
        <v>71</v>
      </c>
      <c r="B84">
        <f t="shared" ref="B84:F84" si="40">ln(B52)</f>
        <v>3.637629275</v>
      </c>
      <c r="C84">
        <f t="shared" si="40"/>
        <v>4.664909644</v>
      </c>
      <c r="D84">
        <f t="shared" si="40"/>
        <v>5.178018088</v>
      </c>
      <c r="E84">
        <f t="shared" si="40"/>
        <v>5.572360684</v>
      </c>
      <c r="F84">
        <f t="shared" si="40"/>
        <v>5.745985419</v>
      </c>
    </row>
    <row r="85">
      <c r="B85">
        <f>($B$34*$B$39/$B$35)^(1/3)</f>
        <v>34.76697039</v>
      </c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  <row r="999">
      <c r="C999" s="28"/>
    </row>
    <row r="1000">
      <c r="C1000" s="28"/>
    </row>
    <row r="1001">
      <c r="C1001" s="28"/>
    </row>
    <row r="1002">
      <c r="C1002" s="28"/>
    </row>
    <row r="1003">
      <c r="C1003" s="28"/>
    </row>
  </sheetData>
  <mergeCells count="6">
    <mergeCell ref="B38:F38"/>
    <mergeCell ref="G39:G43"/>
    <mergeCell ref="G52:G57"/>
    <mergeCell ref="G69:H70"/>
    <mergeCell ref="G66:G67"/>
    <mergeCell ref="C72:G72"/>
  </mergeCells>
  <hyperlinks>
    <hyperlink r:id="rId2" ref="C72"/>
  </hyperlinks>
  <drawing r:id="rId3"/>
  <legacyDrawing r:id="rId4"/>
</worksheet>
</file>