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\Desktop\"/>
    </mc:Choice>
  </mc:AlternateContent>
  <bookViews>
    <workbookView xWindow="0" yWindow="0" windowWidth="19200" windowHeight="7540" firstSheet="1" activeTab="3"/>
  </bookViews>
  <sheets>
    <sheet name="Turbidity vs. Temperature" sheetId="2" r:id="rId1"/>
    <sheet name="Norm Prob Plot of Residuals" sheetId="4" r:id="rId2"/>
    <sheet name="Residual Plot" sheetId="5" r:id="rId3"/>
    <sheet name="Problem 6-4 Work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B41" i="1"/>
  <c r="B40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N17" i="1"/>
  <c r="N1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2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H20" i="1"/>
  <c r="H19" i="1"/>
  <c r="B38" i="1"/>
  <c r="B37" i="1"/>
  <c r="B36" i="1"/>
  <c r="B35" i="1"/>
  <c r="B34" i="1"/>
  <c r="G28" i="1"/>
  <c r="G27" i="1"/>
  <c r="G26" i="1"/>
  <c r="G25" i="1"/>
  <c r="D32" i="1"/>
  <c r="B32" i="1"/>
  <c r="D31" i="1"/>
  <c r="B31" i="1"/>
  <c r="E26" i="1"/>
  <c r="B29" i="1"/>
  <c r="B28" i="1"/>
  <c r="B27" i="1"/>
  <c r="B26" i="1"/>
  <c r="M1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1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D23" i="1"/>
  <c r="D22" i="1"/>
  <c r="B23" i="1"/>
  <c r="B22" i="1"/>
  <c r="B17" i="1"/>
  <c r="B20" i="1"/>
  <c r="B19" i="1"/>
  <c r="E14" i="1"/>
  <c r="E10" i="1"/>
  <c r="E6" i="1"/>
  <c r="E3" i="1"/>
  <c r="C16" i="1"/>
  <c r="E13" i="1" s="1"/>
  <c r="B16" i="1"/>
  <c r="D15" i="1" s="1"/>
  <c r="I4" i="1"/>
  <c r="I8" i="1"/>
  <c r="I12" i="1"/>
  <c r="I15" i="1"/>
  <c r="I2" i="1"/>
  <c r="H15" i="1"/>
  <c r="H3" i="1"/>
  <c r="I3" i="1" s="1"/>
  <c r="H4" i="1"/>
  <c r="H5" i="1"/>
  <c r="I5" i="1" s="1"/>
  <c r="H6" i="1"/>
  <c r="I6" i="1" s="1"/>
  <c r="H7" i="1"/>
  <c r="I7" i="1" s="1"/>
  <c r="H8" i="1"/>
  <c r="H9" i="1"/>
  <c r="I9" i="1" s="1"/>
  <c r="H10" i="1"/>
  <c r="I10" i="1" s="1"/>
  <c r="H11" i="1"/>
  <c r="I11" i="1" s="1"/>
  <c r="H12" i="1"/>
  <c r="H13" i="1"/>
  <c r="I13" i="1" s="1"/>
  <c r="H14" i="1"/>
  <c r="I14" i="1" s="1"/>
  <c r="H2" i="1"/>
  <c r="I16" i="1" l="1"/>
  <c r="I17" i="1" s="1"/>
  <c r="F15" i="1"/>
  <c r="G15" i="1"/>
  <c r="D12" i="1"/>
  <c r="D5" i="1"/>
  <c r="D9" i="1"/>
  <c r="D13" i="1"/>
  <c r="E2" i="1"/>
  <c r="E7" i="1"/>
  <c r="E11" i="1"/>
  <c r="E15" i="1"/>
  <c r="D8" i="1"/>
  <c r="D2" i="1"/>
  <c r="D6" i="1"/>
  <c r="D10" i="1"/>
  <c r="D14" i="1"/>
  <c r="E4" i="1"/>
  <c r="E8" i="1"/>
  <c r="E12" i="1"/>
  <c r="D4" i="1"/>
  <c r="D3" i="1"/>
  <c r="D7" i="1"/>
  <c r="D11" i="1"/>
  <c r="E5" i="1"/>
  <c r="E9" i="1"/>
  <c r="F4" i="1" l="1"/>
  <c r="G4" i="1"/>
  <c r="F8" i="1"/>
  <c r="G8" i="1"/>
  <c r="F12" i="1"/>
  <c r="G12" i="1"/>
  <c r="F11" i="1"/>
  <c r="G11" i="1"/>
  <c r="G10" i="1"/>
  <c r="F10" i="1"/>
  <c r="G13" i="1"/>
  <c r="F13" i="1"/>
  <c r="G14" i="1"/>
  <c r="F14" i="1"/>
  <c r="F9" i="1"/>
  <c r="G9" i="1"/>
  <c r="F7" i="1"/>
  <c r="G7" i="1"/>
  <c r="G6" i="1"/>
  <c r="F6" i="1"/>
  <c r="F3" i="1"/>
  <c r="G3" i="1"/>
  <c r="F2" i="1"/>
  <c r="G2" i="1"/>
  <c r="G16" i="1" s="1"/>
  <c r="G5" i="1"/>
  <c r="F5" i="1"/>
  <c r="F16" i="1" l="1"/>
</calcChain>
</file>

<file path=xl/sharedStrings.xml><?xml version="1.0" encoding="utf-8"?>
<sst xmlns="http://schemas.openxmlformats.org/spreadsheetml/2006/main" count="55" uniqueCount="51">
  <si>
    <t>x</t>
  </si>
  <si>
    <t>y</t>
  </si>
  <si>
    <t>e</t>
  </si>
  <si>
    <t>e^2</t>
  </si>
  <si>
    <t>SSE</t>
  </si>
  <si>
    <t>Variance</t>
  </si>
  <si>
    <t>B1</t>
  </si>
  <si>
    <t>xi - xbar</t>
  </si>
  <si>
    <t>yi-ybar</t>
  </si>
  <si>
    <t>(xi-xbar)(yi-ybar)</t>
  </si>
  <si>
    <t>(xi-xbar) ^2</t>
  </si>
  <si>
    <t>Average</t>
  </si>
  <si>
    <t>Sum</t>
  </si>
  <si>
    <t xml:space="preserve">B0 </t>
  </si>
  <si>
    <t>^ Sxy</t>
  </si>
  <si>
    <t>^ Sxx</t>
  </si>
  <si>
    <t>Average ^ 2</t>
  </si>
  <si>
    <t xml:space="preserve">V(B0) </t>
  </si>
  <si>
    <t>V(B1)</t>
  </si>
  <si>
    <t>se(B0)</t>
  </si>
  <si>
    <t>se(B1)</t>
  </si>
  <si>
    <t>(yi-ybar)^2</t>
  </si>
  <si>
    <t>yhat</t>
  </si>
  <si>
    <t>yhat-ybar</t>
  </si>
  <si>
    <t>(yhat-ybar)^2</t>
  </si>
  <si>
    <t>SSR</t>
  </si>
  <si>
    <t>^ SST</t>
  </si>
  <si>
    <t>SST = SSR + SSE</t>
  </si>
  <si>
    <t>SST</t>
  </si>
  <si>
    <t>SSR + SSE</t>
  </si>
  <si>
    <t>R^2</t>
  </si>
  <si>
    <t>P</t>
  </si>
  <si>
    <t>T0, B1</t>
  </si>
  <si>
    <t>T0, B0</t>
  </si>
  <si>
    <t>MSR</t>
  </si>
  <si>
    <t>MSE</t>
  </si>
  <si>
    <t>F0</t>
  </si>
  <si>
    <t>F(0.05,1,12)</t>
  </si>
  <si>
    <t>T(0.025,12)</t>
  </si>
  <si>
    <t>CI, B1, Lower</t>
  </si>
  <si>
    <t>CI, B1, Upper</t>
  </si>
  <si>
    <t>CI, B0, Lower</t>
  </si>
  <si>
    <t>CI, B0, Upper</t>
  </si>
  <si>
    <t>i</t>
  </si>
  <si>
    <t>mean of e</t>
  </si>
  <si>
    <t>variance of e</t>
  </si>
  <si>
    <t>ordered e</t>
  </si>
  <si>
    <t>cumulative probability</t>
  </si>
  <si>
    <t>Zi</t>
  </si>
  <si>
    <t>Sample Correlation Coefficient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</si>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</sst>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Turbidity</a:t>
            </a:r>
            <a:r>
              <a:rPr lang="en-US" baseline="0"/>
              <a:t> vs.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6-4 Work'!$C$1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6-4 Work'!$B$2:$B$15</c:f>
              <c:numCache>
                <c:formatCode>General</c:formatCode>
                <c:ptCount val="14"/>
                <c:pt idx="0">
                  <c:v>22.9</c:v>
                </c:pt>
                <c:pt idx="1">
                  <c:v>24</c:v>
                </c:pt>
                <c:pt idx="2">
                  <c:v>22.9</c:v>
                </c:pt>
                <c:pt idx="3">
                  <c:v>23</c:v>
                </c:pt>
                <c:pt idx="4">
                  <c:v>20.5</c:v>
                </c:pt>
                <c:pt idx="5">
                  <c:v>26.2</c:v>
                </c:pt>
                <c:pt idx="6">
                  <c:v>25.8</c:v>
                </c:pt>
                <c:pt idx="7">
                  <c:v>26.1</c:v>
                </c:pt>
                <c:pt idx="8">
                  <c:v>26.9</c:v>
                </c:pt>
                <c:pt idx="9">
                  <c:v>22.8</c:v>
                </c:pt>
                <c:pt idx="10">
                  <c:v>27</c:v>
                </c:pt>
                <c:pt idx="11">
                  <c:v>26.1</c:v>
                </c:pt>
                <c:pt idx="12">
                  <c:v>26.2</c:v>
                </c:pt>
                <c:pt idx="13">
                  <c:v>26.6</c:v>
                </c:pt>
              </c:numCache>
            </c:numRef>
          </c:xVal>
          <c:yVal>
            <c:numRef>
              <c:f>'Problem 6-4 Work'!$C$2:$C$15</c:f>
              <c:numCache>
                <c:formatCode>General</c:formatCode>
                <c:ptCount val="14"/>
                <c:pt idx="0">
                  <c:v>125</c:v>
                </c:pt>
                <c:pt idx="1">
                  <c:v>118</c:v>
                </c:pt>
                <c:pt idx="2">
                  <c:v>103</c:v>
                </c:pt>
                <c:pt idx="3">
                  <c:v>105</c:v>
                </c:pt>
                <c:pt idx="4">
                  <c:v>26</c:v>
                </c:pt>
                <c:pt idx="5">
                  <c:v>90</c:v>
                </c:pt>
                <c:pt idx="6">
                  <c:v>99</c:v>
                </c:pt>
                <c:pt idx="7">
                  <c:v>100</c:v>
                </c:pt>
                <c:pt idx="8">
                  <c:v>105</c:v>
                </c:pt>
                <c:pt idx="9">
                  <c:v>55</c:v>
                </c:pt>
                <c:pt idx="10">
                  <c:v>267</c:v>
                </c:pt>
                <c:pt idx="11">
                  <c:v>286</c:v>
                </c:pt>
                <c:pt idx="12">
                  <c:v>235</c:v>
                </c:pt>
                <c:pt idx="13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22-4654-A8E0-222C01F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886751"/>
        <c:axId val="972984271"/>
      </c:scatterChart>
      <c:valAx>
        <c:axId val="96788675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(Celsius)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84271"/>
        <c:crosses val="autoZero"/>
        <c:crossBetween val="midCat"/>
      </c:valAx>
      <c:valAx>
        <c:axId val="97298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  <a:r>
                  <a:rPr lang="en-US" baseline="0"/>
                  <a:t> (FAU)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8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 of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6-4 Work'!$Q$1</c:f>
              <c:strCache>
                <c:ptCount val="1"/>
                <c:pt idx="0">
                  <c:v>Zi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6-4 Work'!$N$2:$N$15</c:f>
              <c:numCache>
                <c:formatCode>General</c:formatCode>
                <c:ptCount val="14"/>
                <c:pt idx="0">
                  <c:v>-91.975200000000029</c:v>
                </c:pt>
                <c:pt idx="1">
                  <c:v>-88.559599999999989</c:v>
                </c:pt>
                <c:pt idx="2">
                  <c:v>-75.928800000000081</c:v>
                </c:pt>
                <c:pt idx="3">
                  <c:v>-69.036400000000015</c:v>
                </c:pt>
                <c:pt idx="4">
                  <c:v>-34.112400000000036</c:v>
                </c:pt>
                <c:pt idx="5">
                  <c:v>-2.6820000000000732</c:v>
                </c:pt>
                <c:pt idx="6">
                  <c:v>-2.603999999999985</c:v>
                </c:pt>
                <c:pt idx="7">
                  <c:v>10.626000000000033</c:v>
                </c:pt>
                <c:pt idx="8">
                  <c:v>11.256800000000055</c:v>
                </c:pt>
                <c:pt idx="9">
                  <c:v>33.256800000000055</c:v>
                </c:pt>
                <c:pt idx="10">
                  <c:v>56.440400000000011</c:v>
                </c:pt>
                <c:pt idx="11">
                  <c:v>67.393999999999949</c:v>
                </c:pt>
                <c:pt idx="12">
                  <c:v>75.917199999999923</c:v>
                </c:pt>
                <c:pt idx="13">
                  <c:v>110.07119999999992</c:v>
                </c:pt>
              </c:numCache>
            </c:numRef>
          </c:xVal>
          <c:yVal>
            <c:numRef>
              <c:f>'Problem 6-4 Work'!$Q$2:$Q$15</c:f>
              <c:numCache>
                <c:formatCode>General</c:formatCode>
                <c:ptCount val="14"/>
                <c:pt idx="0">
                  <c:v>0.49999733100394522</c:v>
                </c:pt>
                <c:pt idx="1">
                  <c:v>0.5000040708929725</c:v>
                </c:pt>
                <c:pt idx="2">
                  <c:v>0.50001081078199872</c:v>
                </c:pt>
                <c:pt idx="3">
                  <c:v>0.5000175506710216</c:v>
                </c:pt>
                <c:pt idx="4">
                  <c:v>0.50002429056003972</c:v>
                </c:pt>
                <c:pt idx="5">
                  <c:v>0.50003103044905084</c:v>
                </c:pt>
                <c:pt idx="6">
                  <c:v>0.50003777033805308</c:v>
                </c:pt>
                <c:pt idx="7">
                  <c:v>0.50004451022704455</c:v>
                </c:pt>
                <c:pt idx="8">
                  <c:v>0.50005125011602325</c:v>
                </c:pt>
                <c:pt idx="9">
                  <c:v>0.50005799000498752</c:v>
                </c:pt>
                <c:pt idx="10">
                  <c:v>0.50006472989393502</c:v>
                </c:pt>
                <c:pt idx="11">
                  <c:v>0.5000714697828641</c:v>
                </c:pt>
                <c:pt idx="12">
                  <c:v>0.50007820967177286</c:v>
                </c:pt>
                <c:pt idx="13">
                  <c:v>0.50008494956065919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4-44E3-BEA3-6AFB968FD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060575"/>
        <c:axId val="1040999631"/>
      </c:scatterChart>
      <c:valAx>
        <c:axId val="97906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99631"/>
        <c:crosses val="autoZero"/>
        <c:crossBetween val="midCat"/>
      </c:valAx>
      <c:valAx>
        <c:axId val="10409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6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6-4 Work'!$H$1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6-4 Work'!$B$2:$B$15</c:f>
              <c:numCache>
                <c:formatCode>General</c:formatCode>
                <c:ptCount val="14"/>
                <c:pt idx="0">
                  <c:v>22.9</c:v>
                </c:pt>
                <c:pt idx="1">
                  <c:v>24</c:v>
                </c:pt>
                <c:pt idx="2">
                  <c:v>22.9</c:v>
                </c:pt>
                <c:pt idx="3">
                  <c:v>23</c:v>
                </c:pt>
                <c:pt idx="4">
                  <c:v>20.5</c:v>
                </c:pt>
                <c:pt idx="5">
                  <c:v>26.2</c:v>
                </c:pt>
                <c:pt idx="6">
                  <c:v>25.8</c:v>
                </c:pt>
                <c:pt idx="7">
                  <c:v>26.1</c:v>
                </c:pt>
                <c:pt idx="8">
                  <c:v>26.9</c:v>
                </c:pt>
                <c:pt idx="9">
                  <c:v>22.8</c:v>
                </c:pt>
                <c:pt idx="10">
                  <c:v>27</c:v>
                </c:pt>
                <c:pt idx="11">
                  <c:v>26.1</c:v>
                </c:pt>
                <c:pt idx="12">
                  <c:v>26.2</c:v>
                </c:pt>
                <c:pt idx="13">
                  <c:v>26.6</c:v>
                </c:pt>
              </c:numCache>
            </c:numRef>
          </c:xVal>
          <c:yVal>
            <c:numRef>
              <c:f>'Problem 6-4 Work'!$H$2:$H$15</c:f>
              <c:numCache>
                <c:formatCode>General</c:formatCode>
                <c:ptCount val="14"/>
                <c:pt idx="0">
                  <c:v>33.256800000000055</c:v>
                </c:pt>
                <c:pt idx="1">
                  <c:v>-2.6820000000000732</c:v>
                </c:pt>
                <c:pt idx="2">
                  <c:v>11.256800000000055</c:v>
                </c:pt>
                <c:pt idx="3">
                  <c:v>10.626000000000033</c:v>
                </c:pt>
                <c:pt idx="4">
                  <c:v>-2.603999999999985</c:v>
                </c:pt>
                <c:pt idx="5">
                  <c:v>-88.559599999999989</c:v>
                </c:pt>
                <c:pt idx="6">
                  <c:v>-69.036400000000015</c:v>
                </c:pt>
                <c:pt idx="7">
                  <c:v>-75.928800000000081</c:v>
                </c:pt>
                <c:pt idx="8">
                  <c:v>-91.975200000000029</c:v>
                </c:pt>
                <c:pt idx="9">
                  <c:v>-34.112400000000036</c:v>
                </c:pt>
                <c:pt idx="10">
                  <c:v>67.393999999999949</c:v>
                </c:pt>
                <c:pt idx="11">
                  <c:v>110.07119999999992</c:v>
                </c:pt>
                <c:pt idx="12">
                  <c:v>56.440400000000011</c:v>
                </c:pt>
                <c:pt idx="13">
                  <c:v>75.917199999999923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6-4548-B7A9-682DF111A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060575"/>
        <c:axId val="1040997903"/>
      </c:scatterChart>
      <c:valAx>
        <c:axId val="979060575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97903"/>
        <c:crosses val="autoZero"/>
        <c:crossBetween val="midCat"/>
      </c:valAx>
      <c:valAx>
        <c:axId val="104099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6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606051" cy="31980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98E344-E967-4803-97C1-ABB36A7255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4607560" cy="31953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5FB60-C16F-4F31-B29C-F9AA2E0982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4606051" cy="31980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F1987-FA62-424D-99BA-5795A089E9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21" workbookViewId="0">
      <selection activeCell="B43" sqref="B43"/>
    </sheetView>
  </sheetViews>
  <sheetFormatPr defaultRowHeight="14.5" x14ac:dyDescent="0.35"/>
  <cols>
    <col min="1" max="1" width="26.6328125" bestFit="1" customWidth="1"/>
    <col min="6" max="6" width="14.90625" bestFit="1" customWidth="1"/>
    <col min="7" max="7" width="11.81640625" bestFit="1" customWidth="1"/>
    <col min="10" max="10" width="9.81640625" bestFit="1" customWidth="1"/>
    <col min="13" max="13" width="12.1796875" bestFit="1" customWidth="1"/>
    <col min="16" max="16" width="19.7265625" bestFit="1" customWidth="1"/>
  </cols>
  <sheetData>
    <row r="1" spans="1:17" s="1" customFormat="1" x14ac:dyDescent="0.35"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46</v>
      </c>
      <c r="O1" s="1" t="s">
        <v>43</v>
      </c>
      <c r="P1" s="1" t="s">
        <v>47</v>
      </c>
      <c r="Q1" s="1" t="s">
        <v>48</v>
      </c>
    </row>
    <row r="2" spans="1:17" x14ac:dyDescent="0.35">
      <c r="B2">
        <v>22.9</v>
      </c>
      <c r="C2">
        <v>125</v>
      </c>
      <c r="D2">
        <f>B2-B16</f>
        <v>-1.8857142857142897</v>
      </c>
      <c r="E2">
        <f>C2-C16</f>
        <v>-16.357142857142861</v>
      </c>
      <c r="F2">
        <f>D2*E2</f>
        <v>30.844897959183747</v>
      </c>
      <c r="G2">
        <f>D2^2</f>
        <v>3.5559183673469539</v>
      </c>
      <c r="H2">
        <f>C2-(26.308*B2-510.71)</f>
        <v>33.256800000000055</v>
      </c>
      <c r="I2">
        <f>H2^2</f>
        <v>1106.0147462400037</v>
      </c>
      <c r="J2">
        <f>E2^2</f>
        <v>267.55612244897975</v>
      </c>
      <c r="K2">
        <f>26.308*B2-510.71</f>
        <v>91.743199999999945</v>
      </c>
      <c r="L2">
        <f>K2-C16</f>
        <v>-49.613942857142916</v>
      </c>
      <c r="M2">
        <f>L2^2</f>
        <v>2461.5433258318426</v>
      </c>
      <c r="N2">
        <f>MIN(H2:H15)</f>
        <v>-91.975200000000029</v>
      </c>
      <c r="O2">
        <v>1</v>
      </c>
      <c r="P2">
        <f>(O2-0.5)/14</f>
        <v>3.5714285714285712E-2</v>
      </c>
      <c r="Q2">
        <f>_xlfn.NORM.DIST(P2,N16,N17,TRUE)</f>
        <v>0.49999733100394522</v>
      </c>
    </row>
    <row r="3" spans="1:17" x14ac:dyDescent="0.35">
      <c r="B3">
        <v>24</v>
      </c>
      <c r="C3">
        <v>118</v>
      </c>
      <c r="D3">
        <f>B3-B16</f>
        <v>-0.78571428571428825</v>
      </c>
      <c r="E3">
        <f>C3-C16</f>
        <v>-23.357142857142861</v>
      </c>
      <c r="F3">
        <f t="shared" ref="F3:F15" si="0">D3*E3</f>
        <v>18.352040816326593</v>
      </c>
      <c r="G3">
        <f t="shared" ref="G3:G15" si="1">D3^2</f>
        <v>0.61734693877551416</v>
      </c>
      <c r="H3">
        <f t="shared" ref="H3:H15" si="2">C3-(26.308*B3-510.71)</f>
        <v>-2.6820000000000732</v>
      </c>
      <c r="I3">
        <f t="shared" ref="I3:I15" si="3">H3^2</f>
        <v>7.1931240000003926</v>
      </c>
      <c r="J3">
        <f t="shared" ref="J3:J15" si="4">E3^2</f>
        <v>545.55612244897975</v>
      </c>
      <c r="K3">
        <f t="shared" ref="K3:K15" si="5">26.308*B3-510.71</f>
        <v>120.68200000000007</v>
      </c>
      <c r="L3">
        <f>K3-C16</f>
        <v>-20.675142857142788</v>
      </c>
      <c r="M3">
        <f t="shared" ref="M3:M15" si="6">L3^2</f>
        <v>427.46153216326246</v>
      </c>
      <c r="N3">
        <f>MIN(H2:H9,H11:H15)</f>
        <v>-88.559599999999989</v>
      </c>
      <c r="O3">
        <v>2</v>
      </c>
      <c r="P3">
        <f t="shared" ref="P3:P15" si="7">(O3-0.5)/14</f>
        <v>0.10714285714285714</v>
      </c>
      <c r="Q3">
        <f>_xlfn.NORM.DIST(P3,N16,N17,TRUE)</f>
        <v>0.5000040708929725</v>
      </c>
    </row>
    <row r="4" spans="1:17" x14ac:dyDescent="0.35">
      <c r="B4">
        <v>22.9</v>
      </c>
      <c r="C4">
        <v>103</v>
      </c>
      <c r="D4">
        <f>B4-B16</f>
        <v>-1.8857142857142897</v>
      </c>
      <c r="E4">
        <f>C4-C16</f>
        <v>-38.357142857142861</v>
      </c>
      <c r="F4">
        <f t="shared" si="0"/>
        <v>72.33061224489812</v>
      </c>
      <c r="G4">
        <f t="shared" si="1"/>
        <v>3.5559183673469539</v>
      </c>
      <c r="H4">
        <f t="shared" si="2"/>
        <v>11.256800000000055</v>
      </c>
      <c r="I4">
        <f t="shared" si="3"/>
        <v>126.71554624000125</v>
      </c>
      <c r="J4">
        <f t="shared" si="4"/>
        <v>1471.2704081632655</v>
      </c>
      <c r="K4">
        <f t="shared" si="5"/>
        <v>91.743199999999945</v>
      </c>
      <c r="L4">
        <f>K4-C16</f>
        <v>-49.613942857142916</v>
      </c>
      <c r="M4">
        <f t="shared" si="6"/>
        <v>2461.5433258318426</v>
      </c>
      <c r="N4">
        <f>MIN(H2:H6,H8:H9,H11:H15)</f>
        <v>-75.928800000000081</v>
      </c>
      <c r="O4">
        <v>3</v>
      </c>
      <c r="P4">
        <f t="shared" si="7"/>
        <v>0.17857142857142858</v>
      </c>
      <c r="Q4">
        <f>_xlfn.NORM.DIST(P4,N16,N17,TRUE)</f>
        <v>0.50001081078199872</v>
      </c>
    </row>
    <row r="5" spans="1:17" x14ac:dyDescent="0.35">
      <c r="B5">
        <v>23</v>
      </c>
      <c r="C5">
        <v>105</v>
      </c>
      <c r="D5">
        <f>B5-B16</f>
        <v>-1.7857142857142883</v>
      </c>
      <c r="E5">
        <f>C5-C16</f>
        <v>-36.357142857142861</v>
      </c>
      <c r="F5">
        <f t="shared" si="0"/>
        <v>64.923469387755205</v>
      </c>
      <c r="G5">
        <f t="shared" si="1"/>
        <v>3.1887755102040907</v>
      </c>
      <c r="H5">
        <f t="shared" si="2"/>
        <v>10.626000000000033</v>
      </c>
      <c r="I5">
        <f t="shared" si="3"/>
        <v>112.9118760000007</v>
      </c>
      <c r="J5">
        <f t="shared" si="4"/>
        <v>1321.8418367346942</v>
      </c>
      <c r="K5">
        <f t="shared" si="5"/>
        <v>94.373999999999967</v>
      </c>
      <c r="L5">
        <f>K5-C16</f>
        <v>-46.983142857142894</v>
      </c>
      <c r="M5">
        <f t="shared" si="6"/>
        <v>2207.4157127346975</v>
      </c>
      <c r="N5">
        <f>MIN(H2:H6,H8,H11:H15)</f>
        <v>-69.036400000000015</v>
      </c>
      <c r="O5">
        <v>4</v>
      </c>
      <c r="P5">
        <f t="shared" si="7"/>
        <v>0.25</v>
      </c>
      <c r="Q5">
        <f>_xlfn.NORM.DIST(P5,N16,N17,TRUE)</f>
        <v>0.5000175506710216</v>
      </c>
    </row>
    <row r="6" spans="1:17" x14ac:dyDescent="0.35">
      <c r="B6">
        <v>20.5</v>
      </c>
      <c r="C6">
        <v>26</v>
      </c>
      <c r="D6">
        <f>B6-B16</f>
        <v>-4.2857142857142883</v>
      </c>
      <c r="E6">
        <f>C6-C16</f>
        <v>-115.35714285714286</v>
      </c>
      <c r="F6">
        <f t="shared" si="0"/>
        <v>494.38775510204113</v>
      </c>
      <c r="G6">
        <f t="shared" si="1"/>
        <v>18.367346938775533</v>
      </c>
      <c r="H6">
        <f t="shared" si="2"/>
        <v>-2.603999999999985</v>
      </c>
      <c r="I6">
        <f t="shared" si="3"/>
        <v>6.7808159999999216</v>
      </c>
      <c r="J6">
        <f t="shared" si="4"/>
        <v>13307.270408163266</v>
      </c>
      <c r="K6">
        <f t="shared" si="5"/>
        <v>28.603999999999985</v>
      </c>
      <c r="L6">
        <f>K6-C16</f>
        <v>-112.75314285714288</v>
      </c>
      <c r="M6">
        <f t="shared" si="6"/>
        <v>12713.271224163269</v>
      </c>
      <c r="N6">
        <f>MIN(H2:H6,H11:H15)</f>
        <v>-34.112400000000036</v>
      </c>
      <c r="O6">
        <v>5</v>
      </c>
      <c r="P6">
        <f t="shared" si="7"/>
        <v>0.32142857142857145</v>
      </c>
      <c r="Q6">
        <f>_xlfn.NORM.DIST(P6,N16,N17,TRUE)</f>
        <v>0.50002429056003972</v>
      </c>
    </row>
    <row r="7" spans="1:17" x14ac:dyDescent="0.35">
      <c r="B7">
        <v>26.2</v>
      </c>
      <c r="C7">
        <v>90</v>
      </c>
      <c r="D7">
        <f>B7-B16</f>
        <v>1.414285714285711</v>
      </c>
      <c r="E7">
        <f>C7-C16</f>
        <v>-51.357142857142861</v>
      </c>
      <c r="F7">
        <f t="shared" si="0"/>
        <v>-72.633673469387588</v>
      </c>
      <c r="G7">
        <f t="shared" si="1"/>
        <v>2.0002040816326438</v>
      </c>
      <c r="H7">
        <f t="shared" si="2"/>
        <v>-88.559599999999989</v>
      </c>
      <c r="I7">
        <f t="shared" si="3"/>
        <v>7842.8027521599979</v>
      </c>
      <c r="J7">
        <f t="shared" si="4"/>
        <v>2637.5561224489802</v>
      </c>
      <c r="K7">
        <f t="shared" si="5"/>
        <v>178.55959999999999</v>
      </c>
      <c r="L7">
        <f>K7-C16</f>
        <v>37.202457142857128</v>
      </c>
      <c r="M7">
        <f t="shared" si="6"/>
        <v>1384.0228174661213</v>
      </c>
      <c r="N7">
        <f>MIN(H2:H6,H12:H15)</f>
        <v>-2.6820000000000732</v>
      </c>
      <c r="O7">
        <v>6</v>
      </c>
      <c r="P7">
        <f t="shared" si="7"/>
        <v>0.39285714285714285</v>
      </c>
      <c r="Q7">
        <f>_xlfn.NORM.DIST(P7,N16,N17,TRUE)</f>
        <v>0.50003103044905084</v>
      </c>
    </row>
    <row r="8" spans="1:17" x14ac:dyDescent="0.35">
      <c r="B8">
        <v>25.8</v>
      </c>
      <c r="C8">
        <v>99</v>
      </c>
      <c r="D8">
        <f>B8-B16</f>
        <v>1.0142857142857125</v>
      </c>
      <c r="E8">
        <f>C8-C16</f>
        <v>-42.357142857142861</v>
      </c>
      <c r="F8">
        <f t="shared" si="0"/>
        <v>-42.96224489795911</v>
      </c>
      <c r="G8">
        <f t="shared" si="1"/>
        <v>1.0287755102040779</v>
      </c>
      <c r="H8">
        <f t="shared" si="2"/>
        <v>-69.036400000000015</v>
      </c>
      <c r="I8">
        <f t="shared" si="3"/>
        <v>4766.0245249600021</v>
      </c>
      <c r="J8">
        <f t="shared" si="4"/>
        <v>1794.1275510204084</v>
      </c>
      <c r="K8">
        <f t="shared" si="5"/>
        <v>168.03640000000001</v>
      </c>
      <c r="L8">
        <f>K8-C16</f>
        <v>26.679257142857153</v>
      </c>
      <c r="M8">
        <f t="shared" si="6"/>
        <v>711.78276169469439</v>
      </c>
      <c r="N8">
        <f>MIN(H2,H4:H6,H12:H15)</f>
        <v>-2.603999999999985</v>
      </c>
      <c r="O8">
        <v>7</v>
      </c>
      <c r="P8">
        <f t="shared" si="7"/>
        <v>0.4642857142857143</v>
      </c>
      <c r="Q8">
        <f>_xlfn.NORM.DIST(P8,N16,N17,TRUE)</f>
        <v>0.50003777033805308</v>
      </c>
    </row>
    <row r="9" spans="1:17" x14ac:dyDescent="0.35">
      <c r="B9">
        <v>26.1</v>
      </c>
      <c r="C9">
        <v>100</v>
      </c>
      <c r="D9">
        <f>B9-B16</f>
        <v>1.3142857142857132</v>
      </c>
      <c r="E9">
        <f>C9-C16</f>
        <v>-41.357142857142861</v>
      </c>
      <c r="F9">
        <f t="shared" si="0"/>
        <v>-54.355102040816284</v>
      </c>
      <c r="G9">
        <f t="shared" si="1"/>
        <v>1.7273469387755074</v>
      </c>
      <c r="H9">
        <f t="shared" si="2"/>
        <v>-75.928800000000081</v>
      </c>
      <c r="I9">
        <f t="shared" si="3"/>
        <v>5765.1826694400124</v>
      </c>
      <c r="J9">
        <f t="shared" si="4"/>
        <v>1710.4132653061229</v>
      </c>
      <c r="K9">
        <f t="shared" si="5"/>
        <v>175.92880000000008</v>
      </c>
      <c r="L9">
        <f>K9-C16</f>
        <v>34.571657142857219</v>
      </c>
      <c r="M9">
        <f t="shared" si="6"/>
        <v>1195.1994776032707</v>
      </c>
      <c r="N9">
        <f>MIN(H2,H4:H5,H12:H15)</f>
        <v>10.626000000000033</v>
      </c>
      <c r="O9">
        <v>8</v>
      </c>
      <c r="P9">
        <f t="shared" si="7"/>
        <v>0.5357142857142857</v>
      </c>
      <c r="Q9">
        <f>_xlfn.NORM.DIST(P9,N16,N17,TRUE)</f>
        <v>0.50004451022704455</v>
      </c>
    </row>
    <row r="10" spans="1:17" x14ac:dyDescent="0.35">
      <c r="B10">
        <v>26.9</v>
      </c>
      <c r="C10">
        <v>105</v>
      </c>
      <c r="D10">
        <f>B10-B16</f>
        <v>2.1142857142857103</v>
      </c>
      <c r="E10">
        <f>C10-C16</f>
        <v>-36.357142857142861</v>
      </c>
      <c r="F10">
        <f t="shared" si="0"/>
        <v>-76.869387755101911</v>
      </c>
      <c r="G10">
        <f t="shared" si="1"/>
        <v>4.4702040816326365</v>
      </c>
      <c r="H10">
        <f t="shared" si="2"/>
        <v>-91.975200000000029</v>
      </c>
      <c r="I10">
        <f t="shared" si="3"/>
        <v>8459.4374150400054</v>
      </c>
      <c r="J10">
        <f t="shared" si="4"/>
        <v>1321.8418367346942</v>
      </c>
      <c r="K10">
        <f t="shared" si="5"/>
        <v>196.97520000000003</v>
      </c>
      <c r="L10">
        <f>K10-C16</f>
        <v>55.618057142857168</v>
      </c>
      <c r="M10">
        <f t="shared" si="6"/>
        <v>3093.3682803461252</v>
      </c>
      <c r="N10">
        <f>MIN(H2,H4,H12:H15)</f>
        <v>11.256800000000055</v>
      </c>
      <c r="O10">
        <v>9</v>
      </c>
      <c r="P10">
        <f t="shared" si="7"/>
        <v>0.6071428571428571</v>
      </c>
      <c r="Q10">
        <f>_xlfn.NORM.DIST(P10,N16,N17,TRUE)</f>
        <v>0.50005125011602325</v>
      </c>
    </row>
    <row r="11" spans="1:17" x14ac:dyDescent="0.35">
      <c r="B11">
        <v>22.8</v>
      </c>
      <c r="C11">
        <v>55</v>
      </c>
      <c r="D11">
        <f>B11-B16</f>
        <v>-1.9857142857142875</v>
      </c>
      <c r="E11">
        <f>C11-C16</f>
        <v>-86.357142857142861</v>
      </c>
      <c r="F11">
        <f t="shared" si="0"/>
        <v>171.48061224489811</v>
      </c>
      <c r="G11">
        <f t="shared" si="1"/>
        <v>3.9430612244898033</v>
      </c>
      <c r="H11">
        <f t="shared" si="2"/>
        <v>-34.112400000000036</v>
      </c>
      <c r="I11">
        <f t="shared" si="3"/>
        <v>1163.6558337600025</v>
      </c>
      <c r="J11">
        <f t="shared" si="4"/>
        <v>7457.5561224489802</v>
      </c>
      <c r="K11">
        <f t="shared" si="5"/>
        <v>89.112400000000036</v>
      </c>
      <c r="L11">
        <f>K11-C16</f>
        <v>-52.244742857142825</v>
      </c>
      <c r="M11">
        <f t="shared" si="6"/>
        <v>2729.5131562089764</v>
      </c>
      <c r="N11">
        <f>MIN(H2,H12:H15)</f>
        <v>33.256800000000055</v>
      </c>
      <c r="O11">
        <v>10</v>
      </c>
      <c r="P11">
        <f t="shared" si="7"/>
        <v>0.6785714285714286</v>
      </c>
      <c r="Q11">
        <f>_xlfn.NORM.DIST(P11,N16,N17,TRUE)</f>
        <v>0.50005799000498752</v>
      </c>
    </row>
    <row r="12" spans="1:17" x14ac:dyDescent="0.35">
      <c r="B12">
        <v>27</v>
      </c>
      <c r="C12">
        <v>267</v>
      </c>
      <c r="D12">
        <f>B12-B16</f>
        <v>2.2142857142857117</v>
      </c>
      <c r="E12">
        <f>C12-C16</f>
        <v>125.64285714285714</v>
      </c>
      <c r="F12">
        <f t="shared" si="0"/>
        <v>278.20918367346906</v>
      </c>
      <c r="G12">
        <f t="shared" si="1"/>
        <v>4.9030612244897851</v>
      </c>
      <c r="H12">
        <f t="shared" si="2"/>
        <v>67.393999999999949</v>
      </c>
      <c r="I12">
        <f t="shared" si="3"/>
        <v>4541.9512359999935</v>
      </c>
      <c r="J12">
        <f t="shared" si="4"/>
        <v>15786.127551020407</v>
      </c>
      <c r="K12">
        <f t="shared" si="5"/>
        <v>199.60600000000005</v>
      </c>
      <c r="L12">
        <f>K12-C16</f>
        <v>58.24885714285719</v>
      </c>
      <c r="M12">
        <f t="shared" si="6"/>
        <v>3392.9293584489851</v>
      </c>
      <c r="N12">
        <f>MIN(H12:H15)</f>
        <v>56.440400000000011</v>
      </c>
      <c r="O12">
        <v>11</v>
      </c>
      <c r="P12">
        <f t="shared" si="7"/>
        <v>0.75</v>
      </c>
      <c r="Q12">
        <f>_xlfn.NORM.DIST(P12,N16,N17,TRUE)</f>
        <v>0.50006472989393502</v>
      </c>
    </row>
    <row r="13" spans="1:17" x14ac:dyDescent="0.35">
      <c r="B13">
        <v>26.1</v>
      </c>
      <c r="C13">
        <v>286</v>
      </c>
      <c r="D13">
        <f>B13-B16</f>
        <v>1.3142857142857132</v>
      </c>
      <c r="E13">
        <f>C13-C16</f>
        <v>144.64285714285714</v>
      </c>
      <c r="F13">
        <f t="shared" si="0"/>
        <v>190.10204081632637</v>
      </c>
      <c r="G13">
        <f t="shared" si="1"/>
        <v>1.7273469387755074</v>
      </c>
      <c r="H13">
        <f t="shared" si="2"/>
        <v>110.07119999999992</v>
      </c>
      <c r="I13">
        <f t="shared" si="3"/>
        <v>12115.669069439982</v>
      </c>
      <c r="J13">
        <f t="shared" si="4"/>
        <v>20921.556122448979</v>
      </c>
      <c r="K13">
        <f t="shared" si="5"/>
        <v>175.92880000000008</v>
      </c>
      <c r="L13">
        <f>K13-C16</f>
        <v>34.571657142857219</v>
      </c>
      <c r="M13">
        <f t="shared" si="6"/>
        <v>1195.1994776032707</v>
      </c>
      <c r="N13">
        <f>MIN(H12:H13,H15)</f>
        <v>67.393999999999949</v>
      </c>
      <c r="O13">
        <v>12</v>
      </c>
      <c r="P13">
        <f t="shared" si="7"/>
        <v>0.8214285714285714</v>
      </c>
      <c r="Q13">
        <f>_xlfn.NORM.DIST(P13,N16,N17,TRUE)</f>
        <v>0.5000714697828641</v>
      </c>
    </row>
    <row r="14" spans="1:17" x14ac:dyDescent="0.35">
      <c r="B14">
        <v>26.2</v>
      </c>
      <c r="C14">
        <v>235</v>
      </c>
      <c r="D14">
        <f>B14-B16</f>
        <v>1.414285714285711</v>
      </c>
      <c r="E14">
        <f>C14-C16</f>
        <v>93.642857142857139</v>
      </c>
      <c r="F14">
        <f t="shared" si="0"/>
        <v>132.43775510204051</v>
      </c>
      <c r="G14">
        <f t="shared" si="1"/>
        <v>2.0002040816326438</v>
      </c>
      <c r="H14">
        <f t="shared" si="2"/>
        <v>56.440400000000011</v>
      </c>
      <c r="I14">
        <f t="shared" si="3"/>
        <v>3185.5187521600014</v>
      </c>
      <c r="J14">
        <f t="shared" si="4"/>
        <v>8768.9846938775499</v>
      </c>
      <c r="K14">
        <f t="shared" si="5"/>
        <v>178.55959999999999</v>
      </c>
      <c r="L14">
        <f>K14-C16</f>
        <v>37.202457142857128</v>
      </c>
      <c r="M14">
        <f t="shared" si="6"/>
        <v>1384.0228174661213</v>
      </c>
      <c r="N14">
        <f>MIN(H13,H15)</f>
        <v>75.917199999999923</v>
      </c>
      <c r="O14">
        <v>13</v>
      </c>
      <c r="P14">
        <f t="shared" si="7"/>
        <v>0.8928571428571429</v>
      </c>
      <c r="Q14">
        <f>_xlfn.NORM.DIST(P14,N16,N17,TRUE)</f>
        <v>0.50007820967177286</v>
      </c>
    </row>
    <row r="15" spans="1:17" x14ac:dyDescent="0.35">
      <c r="B15">
        <v>26.6</v>
      </c>
      <c r="C15">
        <v>265</v>
      </c>
      <c r="D15">
        <f>B15-B16</f>
        <v>1.8142857142857132</v>
      </c>
      <c r="E15">
        <f>C15-C16</f>
        <v>123.64285714285714</v>
      </c>
      <c r="F15">
        <f t="shared" si="0"/>
        <v>224.32346938775495</v>
      </c>
      <c r="G15">
        <f t="shared" si="1"/>
        <v>3.2916326530612205</v>
      </c>
      <c r="H15">
        <f t="shared" si="2"/>
        <v>75.917199999999923</v>
      </c>
      <c r="I15">
        <f t="shared" si="3"/>
        <v>5763.4212558399886</v>
      </c>
      <c r="J15">
        <f t="shared" si="4"/>
        <v>15287.556122448979</v>
      </c>
      <c r="K15">
        <f t="shared" si="5"/>
        <v>189.08280000000008</v>
      </c>
      <c r="L15">
        <f>K15-C16</f>
        <v>47.725657142857216</v>
      </c>
      <c r="M15">
        <f t="shared" si="6"/>
        <v>2277.7383497175579</v>
      </c>
      <c r="N15">
        <f>MIN(H13)</f>
        <v>110.07119999999992</v>
      </c>
      <c r="O15">
        <v>14</v>
      </c>
      <c r="P15">
        <f t="shared" si="7"/>
        <v>0.9642857142857143</v>
      </c>
      <c r="Q15">
        <f>_xlfn.NORM.DIST(P15,N16,N17,TRUE)</f>
        <v>0.50008494956065919</v>
      </c>
    </row>
    <row r="16" spans="1:17" x14ac:dyDescent="0.35">
      <c r="A16" s="1" t="s">
        <v>11</v>
      </c>
      <c r="B16">
        <f>SUM(B2:B15)/14</f>
        <v>24.785714285714288</v>
      </c>
      <c r="C16">
        <f>SUM(C2:C15)/14</f>
        <v>141.35714285714286</v>
      </c>
      <c r="E16" s="1" t="s">
        <v>12</v>
      </c>
      <c r="F16">
        <f>SUM(F2:F15)</f>
        <v>1430.5714285714289</v>
      </c>
      <c r="G16">
        <f>SUM(G2:G15)</f>
        <v>54.377142857142864</v>
      </c>
      <c r="H16" s="1" t="s">
        <v>4</v>
      </c>
      <c r="I16">
        <f>SUM(I2:I15)</f>
        <v>54963.279617279994</v>
      </c>
      <c r="J16">
        <f>SUM(J2:J15)</f>
        <v>92599.214285714275</v>
      </c>
      <c r="L16" s="1" t="s">
        <v>25</v>
      </c>
      <c r="M16">
        <f>SUM(M2:M15)</f>
        <v>37635.011617280048</v>
      </c>
      <c r="N16">
        <f>SUM(N2:N15)</f>
        <v>6.3999999999737156E-2</v>
      </c>
    </row>
    <row r="17" spans="1:14" x14ac:dyDescent="0.35">
      <c r="A17" s="1" t="s">
        <v>16</v>
      </c>
      <c r="B17">
        <f>B16^2</f>
        <v>614.33163265306132</v>
      </c>
      <c r="F17" s="1" t="s">
        <v>14</v>
      </c>
      <c r="G17" s="1" t="s">
        <v>15</v>
      </c>
      <c r="H17" s="1" t="s">
        <v>5</v>
      </c>
      <c r="I17">
        <f>I16/(14-2)</f>
        <v>4580.2733014399992</v>
      </c>
      <c r="J17" s="1" t="s">
        <v>26</v>
      </c>
      <c r="N17">
        <f>_xlfn.VAR.S(N2:N15)</f>
        <v>4227.9445634391204</v>
      </c>
    </row>
    <row r="18" spans="1:14" x14ac:dyDescent="0.35">
      <c r="A18" s="1"/>
      <c r="H18" s="1"/>
    </row>
    <row r="19" spans="1:14" x14ac:dyDescent="0.35">
      <c r="A19" s="1" t="s">
        <v>6</v>
      </c>
      <c r="B19">
        <f>F16/G16</f>
        <v>26.308322824716271</v>
      </c>
      <c r="G19" t="s">
        <v>44</v>
      </c>
      <c r="H19">
        <f>SUM(H2:H15)/14</f>
        <v>4.5714285714097969E-3</v>
      </c>
    </row>
    <row r="20" spans="1:14" x14ac:dyDescent="0.35">
      <c r="A20" s="1" t="s">
        <v>13</v>
      </c>
      <c r="B20">
        <f>C16-B19*B16</f>
        <v>-510.7134300126105</v>
      </c>
      <c r="G20" t="s">
        <v>45</v>
      </c>
      <c r="H20">
        <f>_xlfn.VAR.S(H2:H15)</f>
        <v>4227.9445634391204</v>
      </c>
    </row>
    <row r="22" spans="1:14" x14ac:dyDescent="0.35">
      <c r="A22" s="1" t="s">
        <v>17</v>
      </c>
      <c r="B22">
        <f>I17 * ((1/14)+(B17/G16))</f>
        <v>52073.293701961462</v>
      </c>
      <c r="C22" s="1" t="s">
        <v>19</v>
      </c>
      <c r="D22">
        <f>SQRT(B22)</f>
        <v>228.19573550345208</v>
      </c>
    </row>
    <row r="23" spans="1:14" x14ac:dyDescent="0.35">
      <c r="A23" s="1" t="s">
        <v>18</v>
      </c>
      <c r="B23">
        <f>I17/G16</f>
        <v>84.231591819251761</v>
      </c>
      <c r="C23" s="1" t="s">
        <v>20</v>
      </c>
      <c r="D23">
        <f>SQRT(B23)</f>
        <v>9.177777063061173</v>
      </c>
    </row>
    <row r="25" spans="1:14" x14ac:dyDescent="0.35">
      <c r="A25" s="1" t="s">
        <v>27</v>
      </c>
      <c r="F25" s="1" t="s">
        <v>34</v>
      </c>
      <c r="G25">
        <f>B27/1</f>
        <v>37635.011617280048</v>
      </c>
    </row>
    <row r="26" spans="1:14" x14ac:dyDescent="0.35">
      <c r="A26" s="1" t="s">
        <v>28</v>
      </c>
      <c r="B26">
        <f>J16</f>
        <v>92599.214285714275</v>
      </c>
      <c r="D26" s="1" t="s">
        <v>30</v>
      </c>
      <c r="E26">
        <f>1-(B28/B26)</f>
        <v>0.4064390282223006</v>
      </c>
      <c r="F26" s="1" t="s">
        <v>35</v>
      </c>
      <c r="G26">
        <f>B28/12</f>
        <v>4580.2733014399992</v>
      </c>
    </row>
    <row r="27" spans="1:14" x14ac:dyDescent="0.35">
      <c r="A27" s="1" t="s">
        <v>25</v>
      </c>
      <c r="B27">
        <f>M16</f>
        <v>37635.011617280048</v>
      </c>
      <c r="F27" s="1" t="s">
        <v>36</v>
      </c>
      <c r="G27">
        <f>G25/G26</f>
        <v>8.2167611276488497</v>
      </c>
    </row>
    <row r="28" spans="1:14" x14ac:dyDescent="0.35">
      <c r="A28" s="1" t="s">
        <v>4</v>
      </c>
      <c r="B28">
        <f>I16</f>
        <v>54963.279617279994</v>
      </c>
      <c r="F28" s="1" t="s">
        <v>37</v>
      </c>
      <c r="G28">
        <f>_xlfn.F.INV(0.05,1,12)</f>
        <v>4.099939493891599E-3</v>
      </c>
    </row>
    <row r="29" spans="1:14" x14ac:dyDescent="0.35">
      <c r="A29" s="1" t="s">
        <v>29</v>
      </c>
      <c r="B29">
        <f>B27+B28</f>
        <v>92598.291234560049</v>
      </c>
    </row>
    <row r="31" spans="1:14" x14ac:dyDescent="0.35">
      <c r="A31" s="1" t="s">
        <v>32</v>
      </c>
      <c r="B31">
        <f>(B19-0)/D23</f>
        <v>2.8665245019518206</v>
      </c>
      <c r="C31" s="1" t="s">
        <v>31</v>
      </c>
      <c r="D31">
        <f>1-_xlfn.T.DIST(B31,12,TRUE)</f>
        <v>7.0905086442722975E-3</v>
      </c>
    </row>
    <row r="32" spans="1:14" x14ac:dyDescent="0.35">
      <c r="A32" s="1" t="s">
        <v>33</v>
      </c>
      <c r="B32">
        <f>B20/D22</f>
        <v>-2.2380498429817703</v>
      </c>
      <c r="C32" s="1" t="s">
        <v>31</v>
      </c>
      <c r="D32">
        <f>_xlfn.T.DIST(B32,12,TRUE)</f>
        <v>2.2477334970968581E-2</v>
      </c>
    </row>
    <row r="34" spans="1:2" x14ac:dyDescent="0.35">
      <c r="A34" s="1" t="s">
        <v>38</v>
      </c>
      <c r="B34">
        <f>_xlfn.T.INV(0.025,12)</f>
        <v>-2.1788128296672284</v>
      </c>
    </row>
    <row r="35" spans="1:2" x14ac:dyDescent="0.35">
      <c r="A35" s="1" t="s">
        <v>39</v>
      </c>
      <c r="B35">
        <f>B19+B34*D23</f>
        <v>6.3116644118929699</v>
      </c>
    </row>
    <row r="36" spans="1:2" x14ac:dyDescent="0.35">
      <c r="A36" s="1" t="s">
        <v>40</v>
      </c>
      <c r="B36">
        <f>B19-B34*D23</f>
        <v>46.304981237539572</v>
      </c>
    </row>
    <row r="37" spans="1:2" x14ac:dyDescent="0.35">
      <c r="A37" s="1" t="s">
        <v>41</v>
      </c>
      <c r="B37">
        <f>B20+(B34*D22)</f>
        <v>-1007.9092262028814</v>
      </c>
    </row>
    <row r="38" spans="1:2" x14ac:dyDescent="0.35">
      <c r="A38" s="1" t="s">
        <v>42</v>
      </c>
      <c r="B38">
        <f>B20-(B34*D22)</f>
        <v>-13.517633822339633</v>
      </c>
    </row>
    <row r="40" spans="1:2" x14ac:dyDescent="0.35">
      <c r="A40" s="1" t="s">
        <v>49</v>
      </c>
      <c r="B40">
        <f>B19*SQRT(G16/J16)</f>
        <v>0.63752571041727013</v>
      </c>
    </row>
    <row r="41" spans="1:2" x14ac:dyDescent="0.35">
      <c r="A41" s="1" t="s">
        <v>50</v>
      </c>
      <c r="B41">
        <f>(B40-SQRT(14-3))/SQRT(1-B40)</f>
        <v>-4.4498991813744757</v>
      </c>
    </row>
    <row r="42" spans="1:2" x14ac:dyDescent="0.35">
      <c r="A42" s="1" t="s">
        <v>31</v>
      </c>
      <c r="B42">
        <f>_xlfn.T.DIST(B41,13,TRUE)</f>
        <v>3.2737064422913353E-4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Problem 6-4 Work</vt:lpstr>
      <vt:lpstr>Turbidity vs. Temperature</vt:lpstr>
      <vt:lpstr>Norm Prob Plot of Residuals</vt:lpstr>
      <vt:lpstr>Residual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Atherton</dc:creator>
  <cp:lastModifiedBy>Kathryn Atherton</cp:lastModifiedBy>
  <dcterms:created xsi:type="dcterms:W3CDTF">2017-03-28T16:19:23Z</dcterms:created>
  <dcterms:modified xsi:type="dcterms:W3CDTF">2017-03-29T05:15:19Z</dcterms:modified>
</cp:coreProperties>
</file>