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athryn\Documents\"/>
    </mc:Choice>
  </mc:AlternateContent>
  <bookViews>
    <workbookView xWindow="0" yWindow="0" windowWidth="19200" windowHeight="7540" firstSheet="2" activeTab="7"/>
  </bookViews>
  <sheets>
    <sheet name="Similarity" sheetId="4" r:id="rId1"/>
    <sheet name="Identity" sheetId="5" r:id="rId2"/>
    <sheet name="Alignment" sheetId="6" r:id="rId3"/>
    <sheet name="Gap" sheetId="7" r:id="rId4"/>
    <sheet name="SD Score" sheetId="8" r:id="rId5"/>
    <sheet name="Highest SD Score" sheetId="9" r:id="rId6"/>
    <sheet name="Length" sheetId="10" r:id="rId7"/>
    <sheet name="Longest ORF" sheetId="11" r:id="rId8"/>
    <sheet name="Sheet1" sheetId="1" r:id="rId9"/>
  </sheets>
  <calcPr calcId="171027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7" i="1" l="1"/>
  <c r="K27" i="1"/>
  <c r="L27" i="1"/>
  <c r="M27" i="1"/>
  <c r="N27" i="1"/>
  <c r="O27" i="1"/>
  <c r="P27" i="1"/>
  <c r="Q27" i="1"/>
  <c r="R27" i="1"/>
  <c r="S27" i="1"/>
  <c r="V27" i="1"/>
  <c r="W27" i="1"/>
  <c r="X27" i="1"/>
  <c r="C27" i="1"/>
  <c r="D27" i="1"/>
  <c r="E27" i="1"/>
  <c r="F27" i="1"/>
  <c r="G27" i="1"/>
  <c r="H27" i="1"/>
  <c r="I27" i="1"/>
  <c r="B27" i="1"/>
  <c r="B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V26" i="1"/>
  <c r="W26" i="1"/>
  <c r="X26" i="1"/>
  <c r="C26" i="1"/>
  <c r="O24" i="1"/>
  <c r="D23" i="1"/>
  <c r="G23" i="1"/>
  <c r="J23" i="1"/>
  <c r="L23" i="1"/>
  <c r="M23" i="1" s="1"/>
  <c r="N23" i="1"/>
  <c r="O23" i="1"/>
  <c r="P23" i="1" s="1"/>
  <c r="S23" i="1"/>
  <c r="X23" i="1"/>
  <c r="O22" i="1"/>
  <c r="L22" i="1"/>
  <c r="O21" i="1"/>
  <c r="O20" i="1"/>
  <c r="O19" i="1"/>
  <c r="L19" i="1"/>
  <c r="N18" i="1"/>
  <c r="O18" i="1"/>
  <c r="L18" i="1"/>
  <c r="O17" i="1"/>
  <c r="L17" i="1"/>
  <c r="O16" i="1"/>
  <c r="L16" i="1"/>
  <c r="O15" i="1"/>
  <c r="L15" i="1"/>
  <c r="O14" i="1"/>
  <c r="O13" i="1"/>
  <c r="O12" i="1"/>
  <c r="O11" i="1"/>
  <c r="O10" i="1"/>
  <c r="N10" i="1"/>
  <c r="O9" i="1"/>
  <c r="O8" i="1"/>
  <c r="O7" i="1"/>
  <c r="O6" i="1"/>
  <c r="O5" i="1"/>
  <c r="O4" i="1"/>
  <c r="L4" i="1"/>
  <c r="N2" i="1"/>
  <c r="O2" i="1" s="1"/>
  <c r="P2" i="1" s="1"/>
  <c r="N24" i="1"/>
  <c r="N22" i="1"/>
  <c r="K22" i="1"/>
  <c r="N21" i="1"/>
  <c r="N20" i="1"/>
  <c r="N19" i="1"/>
  <c r="K19" i="1"/>
  <c r="K18" i="1"/>
  <c r="N17" i="1"/>
  <c r="N16" i="1"/>
  <c r="N15" i="1"/>
  <c r="N14" i="1"/>
  <c r="N13" i="1"/>
  <c r="N12" i="1"/>
  <c r="N11" i="1"/>
  <c r="N9" i="1"/>
  <c r="N7" i="1"/>
  <c r="N6" i="1"/>
  <c r="K17" i="1"/>
  <c r="K16" i="1"/>
  <c r="K15" i="1"/>
  <c r="K9" i="1"/>
  <c r="K5" i="1"/>
  <c r="K4" i="1"/>
  <c r="U25" i="1" l="1"/>
  <c r="T25" i="1"/>
  <c r="L9" i="1"/>
  <c r="L8" i="1"/>
  <c r="L25" i="1" s="1"/>
  <c r="X8" i="1"/>
  <c r="S8" i="1"/>
  <c r="P8" i="1"/>
  <c r="J8" i="1"/>
  <c r="G8" i="1"/>
  <c r="D8" i="1"/>
  <c r="Z25" i="1"/>
  <c r="Y25" i="1"/>
  <c r="Q25" i="1"/>
  <c r="R25" i="1"/>
  <c r="V25" i="1"/>
  <c r="W25" i="1"/>
  <c r="K25" i="1"/>
  <c r="N25" i="1"/>
  <c r="O25" i="1"/>
  <c r="E25" i="1"/>
  <c r="F25" i="1"/>
  <c r="H25" i="1"/>
  <c r="I25" i="1"/>
  <c r="B25" i="1"/>
  <c r="C25" i="1"/>
  <c r="X3" i="1"/>
  <c r="X4" i="1"/>
  <c r="X5" i="1"/>
  <c r="X6" i="1"/>
  <c r="X7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4" i="1"/>
  <c r="X2" i="1"/>
  <c r="S3" i="1"/>
  <c r="S4" i="1"/>
  <c r="S5" i="1"/>
  <c r="S6" i="1"/>
  <c r="S7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4" i="1"/>
  <c r="S2" i="1"/>
  <c r="P4" i="1"/>
  <c r="P5" i="1"/>
  <c r="P6" i="1"/>
  <c r="P7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4" i="1"/>
  <c r="P3" i="1"/>
  <c r="M3" i="1"/>
  <c r="M4" i="1"/>
  <c r="M5" i="1"/>
  <c r="M6" i="1"/>
  <c r="M7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4" i="1"/>
  <c r="M2" i="1"/>
  <c r="J3" i="1"/>
  <c r="J4" i="1"/>
  <c r="J5" i="1"/>
  <c r="J6" i="1"/>
  <c r="J7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4" i="1"/>
  <c r="J2" i="1"/>
  <c r="G3" i="1"/>
  <c r="G4" i="1"/>
  <c r="G5" i="1"/>
  <c r="G6" i="1"/>
  <c r="G7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4" i="1"/>
  <c r="G2" i="1"/>
  <c r="D3" i="1"/>
  <c r="D4" i="1"/>
  <c r="D5" i="1"/>
  <c r="D6" i="1"/>
  <c r="D7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4" i="1"/>
  <c r="D2" i="1"/>
  <c r="M8" i="1" l="1"/>
  <c r="G25" i="1"/>
  <c r="D25" i="1"/>
  <c r="J25" i="1"/>
  <c r="S25" i="1"/>
  <c r="M25" i="1"/>
  <c r="X25" i="1"/>
  <c r="P25" i="1"/>
</calcChain>
</file>

<file path=xl/sharedStrings.xml><?xml version="1.0" encoding="utf-8"?>
<sst xmlns="http://schemas.openxmlformats.org/spreadsheetml/2006/main" count="29" uniqueCount="23">
  <si>
    <t>Feature</t>
  </si>
  <si>
    <t>Original Similarity</t>
  </si>
  <si>
    <t>Final Similarity</t>
  </si>
  <si>
    <t>Original Gap Before Gene</t>
  </si>
  <si>
    <t>Final Gap Before Gene</t>
  </si>
  <si>
    <t>Original SD Score</t>
  </si>
  <si>
    <t>Final SD Score</t>
  </si>
  <si>
    <t>Difference</t>
  </si>
  <si>
    <t>Original Length</t>
  </si>
  <si>
    <t>Final Length</t>
  </si>
  <si>
    <t>Original Identity</t>
  </si>
  <si>
    <t>Final Identity</t>
  </si>
  <si>
    <t>Original Alignment</t>
  </si>
  <si>
    <t>Final Alignment</t>
  </si>
  <si>
    <t>Original E Value</t>
  </si>
  <si>
    <t>Final E Value</t>
  </si>
  <si>
    <t>Averages</t>
  </si>
  <si>
    <t>Standard Deviations</t>
  </si>
  <si>
    <t>Variances</t>
  </si>
  <si>
    <t>Originally Longest ORF</t>
  </si>
  <si>
    <t>Finally Longest ORF</t>
  </si>
  <si>
    <t>Originally Highest SD Score</t>
  </si>
  <si>
    <t>Finally Highest SD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</si>
</sst>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00000000000000000000000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0" xfId="0" applyFont="1"/>
    <xf numFmtId="164" fontId="1" fillId="0" borderId="0" xfId="0" applyNumberFormat="1" applyFont="1"/>
    <xf numFmtId="1" fontId="1" fillId="0" borderId="0" xfId="0" applyNumberFormat="1" applyFont="1"/>
    <xf numFmtId="165" fontId="1" fillId="0" borderId="0" xfId="0" applyNumberFormat="1" applyFon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8.xml"/><Relationship Id="rId13" Type="http://schemas.openxmlformats.org/officeDocument/2006/relationships/calcChain" Target="calcChain.xml"/><Relationship Id="rId3" Type="http://schemas.openxmlformats.org/officeDocument/2006/relationships/chartsheet" Target="chartsheets/sheet3.xml"/><Relationship Id="rId7" Type="http://schemas.openxmlformats.org/officeDocument/2006/relationships/chartsheet" Target="chartsheets/sheet7.xml"/><Relationship Id="rId12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6.xml"/><Relationship Id="rId11" Type="http://schemas.openxmlformats.org/officeDocument/2006/relationships/styles" Target="styles.xml"/><Relationship Id="rId5" Type="http://schemas.openxmlformats.org/officeDocument/2006/relationships/chartsheet" Target="chartsheets/sheet5.xml"/><Relationship Id="rId10" Type="http://schemas.openxmlformats.org/officeDocument/2006/relationships/theme" Target="theme/theme1.xml"/><Relationship Id="rId4" Type="http://schemas.openxmlformats.org/officeDocument/2006/relationships/chartsheet" Target="chartsheets/sheet4.xml"/><Relationship Id="rId9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Similarity</a:t>
            </a:r>
            <a:r>
              <a:rPr lang="en-US" baseline="0"/>
              <a:t> Change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Sheet1!$B$1:$C$1</c:f>
              <c:strCache>
                <c:ptCount val="2"/>
                <c:pt idx="0">
                  <c:v>Original Similarity</c:v>
                </c:pt>
                <c:pt idx="1">
                  <c:v>Final Similarity</c:v>
                </c:pt>
              </c:strCache>
            </c:strRef>
          </c:cat>
          <c:val>
            <c:numRef>
              <c:f>Sheet1!$B$25:$C$25</c:f>
              <c:numCache>
                <c:formatCode>0.0000</c:formatCode>
                <c:ptCount val="2"/>
                <c:pt idx="0">
                  <c:v>0.89408636363636351</c:v>
                </c:pt>
                <c:pt idx="1">
                  <c:v>0.93903478260869566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8F-42CB-A63A-85345A4D2A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4439439"/>
        <c:axId val="1137972335"/>
      </c:barChart>
      <c:catAx>
        <c:axId val="1224439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7972335"/>
        <c:crosses val="autoZero"/>
        <c:auto val="1"/>
        <c:lblAlgn val="ctr"/>
        <c:lblOffset val="100"/>
        <c:noMultiLvlLbl val="0"/>
      </c:catAx>
      <c:valAx>
        <c:axId val="1137972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4394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Identity Change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Sheet1!$E$1:$F$1</c:f>
              <c:strCache>
                <c:ptCount val="2"/>
                <c:pt idx="0">
                  <c:v>Original Identity</c:v>
                </c:pt>
                <c:pt idx="1">
                  <c:v>Final Identity</c:v>
                </c:pt>
              </c:strCache>
            </c:strRef>
          </c:cat>
          <c:val>
            <c:numRef>
              <c:f>Sheet1!$E$25:$F$25</c:f>
              <c:numCache>
                <c:formatCode>0.0000</c:formatCode>
                <c:ptCount val="2"/>
                <c:pt idx="0">
                  <c:v>0.88010000000000022</c:v>
                </c:pt>
                <c:pt idx="1">
                  <c:v>0.9214869565217394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CA-4672-BD3A-E41440E52A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3046447"/>
        <c:axId val="1232611231"/>
      </c:barChart>
      <c:catAx>
        <c:axId val="1143046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2611231"/>
        <c:crosses val="autoZero"/>
        <c:auto val="1"/>
        <c:lblAlgn val="ctr"/>
        <c:lblOffset val="100"/>
        <c:noMultiLvlLbl val="0"/>
      </c:catAx>
      <c:valAx>
        <c:axId val="1232611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046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Alignment</a:t>
            </a:r>
            <a:r>
              <a:rPr lang="en-US" baseline="0"/>
              <a:t> Change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Sheet1!$H$1:$I$1</c:f>
              <c:strCache>
                <c:ptCount val="2"/>
                <c:pt idx="0">
                  <c:v>Original Alignment</c:v>
                </c:pt>
                <c:pt idx="1">
                  <c:v>Final Alignment</c:v>
                </c:pt>
              </c:strCache>
            </c:strRef>
          </c:cat>
          <c:val>
            <c:numRef>
              <c:f>Sheet1!$H$25:$I$25</c:f>
              <c:numCache>
                <c:formatCode>0.0000</c:formatCode>
                <c:ptCount val="2"/>
                <c:pt idx="0">
                  <c:v>0.87581818181818183</c:v>
                </c:pt>
                <c:pt idx="1">
                  <c:v>0.91786956521739138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AD-4025-9A57-CA6E769726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0510479"/>
        <c:axId val="1409281135"/>
      </c:barChart>
      <c:catAx>
        <c:axId val="1140510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281135"/>
        <c:crosses val="autoZero"/>
        <c:auto val="1"/>
        <c:lblAlgn val="ctr"/>
        <c:lblOffset val="100"/>
        <c:noMultiLvlLbl val="0"/>
      </c:catAx>
      <c:valAx>
        <c:axId val="140928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0510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Gap Before</a:t>
            </a:r>
            <a:r>
              <a:rPr lang="en-US" baseline="0"/>
              <a:t> Gene Change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Sheet1!$N$1:$O$1</c:f>
              <c:strCache>
                <c:ptCount val="2"/>
                <c:pt idx="0">
                  <c:v>Original Gap Before Gene</c:v>
                </c:pt>
                <c:pt idx="1">
                  <c:v>Final Gap Before Gene</c:v>
                </c:pt>
              </c:strCache>
            </c:strRef>
          </c:cat>
          <c:val>
            <c:numRef>
              <c:f>Sheet1!$N$25:$O$25</c:f>
              <c:numCache>
                <c:formatCode>0</c:formatCode>
                <c:ptCount val="2"/>
                <c:pt idx="0">
                  <c:v>12</c:v>
                </c:pt>
                <c:pt idx="1">
                  <c:v>6.2608695652173916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5F-43C3-9E78-3EB25F0523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4438191"/>
        <c:axId val="1234006063"/>
      </c:barChart>
      <c:catAx>
        <c:axId val="1224438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4006063"/>
        <c:crosses val="autoZero"/>
        <c:auto val="1"/>
        <c:lblAlgn val="ctr"/>
        <c:lblOffset val="100"/>
        <c:noMultiLvlLbl val="0"/>
      </c:catAx>
      <c:valAx>
        <c:axId val="1234006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4381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Shine Dalgarno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Sheet1!$Q$1:$R$1</c:f>
              <c:strCache>
                <c:ptCount val="2"/>
                <c:pt idx="0">
                  <c:v>Original SD Score</c:v>
                </c:pt>
                <c:pt idx="1">
                  <c:v>Final SD Score</c:v>
                </c:pt>
              </c:strCache>
            </c:strRef>
          </c:cat>
          <c:val>
            <c:numRef>
              <c:f>Sheet1!$Q$25:$R$25</c:f>
              <c:numCache>
                <c:formatCode>0.0000</c:formatCode>
                <c:ptCount val="2"/>
                <c:pt idx="0">
                  <c:v>-4.3184545454545455</c:v>
                </c:pt>
                <c:pt idx="1">
                  <c:v>-4.2123913043478254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9D-42EA-A810-6AD52DCDE3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16206367"/>
        <c:axId val="1402904527"/>
      </c:barChart>
      <c:catAx>
        <c:axId val="1416206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2904527"/>
        <c:crosses val="autoZero"/>
        <c:auto val="1"/>
        <c:lblAlgn val="ctr"/>
        <c:lblOffset val="100"/>
        <c:noMultiLvlLbl val="0"/>
      </c:catAx>
      <c:valAx>
        <c:axId val="1402904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6206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</a:t>
            </a:r>
            <a:r>
              <a:rPr lang="en-US" baseline="0"/>
              <a:t> of Genes with Highest Possible SD Score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Sheet1!$T$1:$U$1</c:f>
              <c:strCache>
                <c:ptCount val="2"/>
                <c:pt idx="0">
                  <c:v>Originally Highest SD Score</c:v>
                </c:pt>
                <c:pt idx="1">
                  <c:v>Finally Highest SD Score</c:v>
                </c:pt>
              </c:strCache>
            </c:strRef>
          </c:cat>
          <c:val>
            <c:numRef>
              <c:f>Sheet1!$T$25:$U$25</c:f>
              <c:numCache>
                <c:formatCode>0</c:formatCode>
                <c:ptCount val="2"/>
                <c:pt idx="0">
                  <c:v>7</c:v>
                </c:pt>
                <c:pt idx="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FE-4AE0-941A-5877E6688B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1349071"/>
        <c:axId val="1141417743"/>
      </c:barChart>
      <c:catAx>
        <c:axId val="1141349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1417743"/>
        <c:crosses val="autoZero"/>
        <c:auto val="1"/>
        <c:lblAlgn val="ctr"/>
        <c:lblOffset val="100"/>
        <c:noMultiLvlLbl val="0"/>
      </c:catAx>
      <c:valAx>
        <c:axId val="1141417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13490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Length Change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Sheet1!$V$1:$W$1</c:f>
              <c:strCache>
                <c:ptCount val="2"/>
                <c:pt idx="0">
                  <c:v>Original Length</c:v>
                </c:pt>
                <c:pt idx="1">
                  <c:v>Final Length</c:v>
                </c:pt>
              </c:strCache>
            </c:strRef>
          </c:cat>
          <c:val>
            <c:numRef>
              <c:f>Sheet1!$V$25:$W$25</c:f>
              <c:numCache>
                <c:formatCode>0</c:formatCode>
                <c:ptCount val="2"/>
                <c:pt idx="0">
                  <c:v>314.86363636363637</c:v>
                </c:pt>
                <c:pt idx="1">
                  <c:v>332.86956521739131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A-4C35-8D93-FAFED65C2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2444351"/>
        <c:axId val="1413118175"/>
      </c:barChart>
      <c:catAx>
        <c:axId val="1402444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3118175"/>
        <c:crosses val="autoZero"/>
        <c:auto val="1"/>
        <c:lblAlgn val="ctr"/>
        <c:lblOffset val="100"/>
        <c:noMultiLvlLbl val="0"/>
      </c:catAx>
      <c:valAx>
        <c:axId val="141311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2444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</a:t>
            </a:r>
            <a:r>
              <a:rPr lang="en-US" baseline="0"/>
              <a:t> of Genes with Longest ORF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Sheet1!$Y$1:$Z$1</c:f>
              <c:strCache>
                <c:ptCount val="2"/>
                <c:pt idx="0">
                  <c:v>Originally Longest ORF</c:v>
                </c:pt>
                <c:pt idx="1">
                  <c:v>Finally Longest ORF</c:v>
                </c:pt>
              </c:strCache>
            </c:strRef>
          </c:cat>
          <c:val>
            <c:numRef>
              <c:f>Sheet1!$Y$25:$Z$25</c:f>
              <c:numCache>
                <c:formatCode>0</c:formatCode>
                <c:ptCount val="2"/>
                <c:pt idx="0">
                  <c:v>4</c:v>
                </c:pt>
                <c:pt idx="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8F-4FFC-A7DD-287866359D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5409951"/>
        <c:axId val="1406599871"/>
      </c:barChart>
      <c:catAx>
        <c:axId val="1225409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6599871"/>
        <c:crosses val="autoZero"/>
        <c:auto val="1"/>
        <c:lblAlgn val="ctr"/>
        <c:lblOffset val="100"/>
        <c:noMultiLvlLbl val="0"/>
      </c:catAx>
      <c:valAx>
        <c:axId val="1406599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54099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3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3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38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38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38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38" workbookViewId="0" zoomToFit="1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zoomScale="138" workbookViewId="0" zoomToFit="1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>
  <sheetPr/>
  <sheetViews>
    <sheetView tabSelected="1" zoomScale="13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4606051" cy="319800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C79DF6-D6BD-4486-8947-721B6091423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4606051" cy="319800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3FA9D9-F88D-4AA0-A785-2EEAEE53588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4606051" cy="319800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67E18F-1A7F-4518-9E09-CA173A19668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4606051" cy="319800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FF8F9E-76F3-4E80-8480-41D02FF7034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4606051" cy="319800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E21449-0D5B-4AEF-94ED-5F38C7D0D95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4606051" cy="319800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7FFCE7-6DD4-4A22-9F4E-C8CEB031385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4606051" cy="319800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F7BB5B-6539-4132-ACD9-2D8E9A78823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4606051" cy="319800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D062C5-591F-485C-88AE-35356E6878D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7"/>
  <sheetViews>
    <sheetView workbookViewId="0">
      <pane xSplit="1" topLeftCell="U1" activePane="topRight" state="frozen"/>
      <selection pane="topRight" activeCell="Y1" activeCellId="1" sqref="Y25:Z25 Y1:Z1"/>
    </sheetView>
  </sheetViews>
  <sheetFormatPr defaultRowHeight="14.5" x14ac:dyDescent="0.35"/>
  <cols>
    <col min="1" max="1" width="17.7265625" style="3" bestFit="1" customWidth="1"/>
    <col min="2" max="2" width="15.453125" style="2" bestFit="1" customWidth="1"/>
    <col min="3" max="3" width="12.90625" style="2" bestFit="1" customWidth="1"/>
    <col min="4" max="4" width="9.453125" style="2" bestFit="1" customWidth="1"/>
    <col min="5" max="5" width="14.1796875" style="2" bestFit="1" customWidth="1"/>
    <col min="6" max="6" width="11.54296875" style="2" bestFit="1" customWidth="1"/>
    <col min="7" max="7" width="9.453125" style="2" customWidth="1"/>
    <col min="8" max="8" width="16.26953125" style="2" bestFit="1" customWidth="1"/>
    <col min="9" max="9" width="13.7265625" style="2" bestFit="1" customWidth="1"/>
    <col min="10" max="10" width="9.453125" style="2" customWidth="1"/>
    <col min="11" max="13" width="32.81640625" style="7" bestFit="1" customWidth="1"/>
    <col min="14" max="14" width="22.1796875" style="1" bestFit="1" customWidth="1"/>
    <col min="15" max="15" width="19.54296875" style="1" bestFit="1" customWidth="1"/>
    <col min="16" max="16" width="9.453125" style="1" bestFit="1" customWidth="1"/>
    <col min="17" max="17" width="15" style="2" bestFit="1" customWidth="1"/>
    <col min="18" max="18" width="12.36328125" style="2" bestFit="1" customWidth="1"/>
    <col min="19" max="19" width="9.453125" style="2" bestFit="1" customWidth="1"/>
    <col min="20" max="20" width="23.26953125" style="1" bestFit="1" customWidth="1"/>
    <col min="21" max="21" width="20.6328125" style="1" bestFit="1" customWidth="1"/>
    <col min="22" max="22" width="13.36328125" style="1" bestFit="1" customWidth="1"/>
    <col min="23" max="23" width="10.7265625" style="1" bestFit="1" customWidth="1"/>
    <col min="24" max="24" width="9.453125" style="1" bestFit="1" customWidth="1"/>
    <col min="25" max="25" width="19.54296875" style="1" bestFit="1" customWidth="1"/>
    <col min="26" max="26" width="17" style="1" bestFit="1" customWidth="1"/>
    <col min="27" max="27" width="8.36328125" style="1" customWidth="1"/>
    <col min="28" max="28" width="8.54296875" style="1" customWidth="1"/>
    <col min="29" max="29" width="9.453125" style="1" bestFit="1" customWidth="1"/>
  </cols>
  <sheetData>
    <row r="1" spans="1:29" s="3" customFormat="1" x14ac:dyDescent="0.35">
      <c r="A1" s="3" t="s">
        <v>0</v>
      </c>
      <c r="B1" s="4" t="s">
        <v>1</v>
      </c>
      <c r="C1" s="4" t="s">
        <v>2</v>
      </c>
      <c r="D1" s="4" t="s">
        <v>7</v>
      </c>
      <c r="E1" s="4" t="s">
        <v>10</v>
      </c>
      <c r="F1" s="4" t="s">
        <v>11</v>
      </c>
      <c r="G1" s="4" t="s">
        <v>7</v>
      </c>
      <c r="H1" s="4" t="s">
        <v>12</v>
      </c>
      <c r="I1" s="4" t="s">
        <v>13</v>
      </c>
      <c r="J1" s="4" t="s">
        <v>7</v>
      </c>
      <c r="K1" s="6" t="s">
        <v>14</v>
      </c>
      <c r="L1" s="6" t="s">
        <v>15</v>
      </c>
      <c r="M1" s="6" t="s">
        <v>7</v>
      </c>
      <c r="N1" s="5" t="s">
        <v>3</v>
      </c>
      <c r="O1" s="5" t="s">
        <v>4</v>
      </c>
      <c r="P1" s="5" t="s">
        <v>7</v>
      </c>
      <c r="Q1" s="4" t="s">
        <v>5</v>
      </c>
      <c r="R1" s="4" t="s">
        <v>6</v>
      </c>
      <c r="S1" s="4" t="s">
        <v>7</v>
      </c>
      <c r="T1" s="5" t="s">
        <v>21</v>
      </c>
      <c r="U1" s="5" t="s">
        <v>22</v>
      </c>
      <c r="V1" s="5" t="s">
        <v>8</v>
      </c>
      <c r="W1" s="5" t="s">
        <v>9</v>
      </c>
      <c r="X1" s="5" t="s">
        <v>7</v>
      </c>
      <c r="Y1" s="5" t="s">
        <v>19</v>
      </c>
      <c r="Z1" s="5" t="s">
        <v>20</v>
      </c>
      <c r="AA1" s="5"/>
      <c r="AB1" s="5"/>
      <c r="AC1" s="5"/>
    </row>
    <row r="2" spans="1:29" x14ac:dyDescent="0.35">
      <c r="A2" s="3">
        <v>67</v>
      </c>
      <c r="B2" s="2">
        <v>1</v>
      </c>
      <c r="C2" s="2">
        <v>1</v>
      </c>
      <c r="D2" s="2">
        <f>C2-B2</f>
        <v>0</v>
      </c>
      <c r="E2" s="2">
        <v>1</v>
      </c>
      <c r="F2" s="2">
        <v>1</v>
      </c>
      <c r="G2" s="2">
        <f>F2-E2</f>
        <v>0</v>
      </c>
      <c r="H2" s="2">
        <v>1</v>
      </c>
      <c r="I2" s="2">
        <v>1</v>
      </c>
      <c r="J2" s="2">
        <f>I2-H2</f>
        <v>0</v>
      </c>
      <c r="K2" s="7">
        <v>0</v>
      </c>
      <c r="L2" s="7">
        <v>0</v>
      </c>
      <c r="M2" s="7">
        <f>L2-K2</f>
        <v>0</v>
      </c>
      <c r="N2" s="1">
        <f>-(40529+806-41343)</f>
        <v>8</v>
      </c>
      <c r="O2" s="1">
        <f>N2</f>
        <v>8</v>
      </c>
      <c r="P2" s="1">
        <f>O2-N2</f>
        <v>0</v>
      </c>
      <c r="Q2" s="2">
        <v>-4.407</v>
      </c>
      <c r="R2" s="2">
        <v>-4.407</v>
      </c>
      <c r="S2" s="2">
        <f>R2-Q2</f>
        <v>0</v>
      </c>
      <c r="T2" s="1">
        <v>0</v>
      </c>
      <c r="U2" s="1">
        <v>0</v>
      </c>
      <c r="V2" s="1">
        <v>249</v>
      </c>
      <c r="W2" s="1">
        <v>249</v>
      </c>
      <c r="X2" s="1">
        <f>W2-V2</f>
        <v>0</v>
      </c>
      <c r="Y2" s="1">
        <v>0</v>
      </c>
      <c r="Z2" s="1">
        <v>0</v>
      </c>
    </row>
    <row r="3" spans="1:29" x14ac:dyDescent="0.35">
      <c r="A3" s="3">
        <v>68</v>
      </c>
      <c r="B3" s="2">
        <v>0.91039999999999999</v>
      </c>
      <c r="C3" s="2">
        <v>0.91400000000000003</v>
      </c>
      <c r="D3" s="2">
        <f t="shared" ref="D3:D24" si="0">C3-B3</f>
        <v>3.6000000000000476E-3</v>
      </c>
      <c r="E3" s="2">
        <v>0.85929999999999995</v>
      </c>
      <c r="F3" s="2">
        <v>0.86480000000000001</v>
      </c>
      <c r="G3" s="2">
        <f t="shared" ref="G3:G24" si="1">F3-E3</f>
        <v>5.5000000000000604E-3</v>
      </c>
      <c r="H3" s="2">
        <v>0.96099999999999997</v>
      </c>
      <c r="I3" s="2">
        <v>1</v>
      </c>
      <c r="J3" s="2">
        <f t="shared" ref="J3:J24" si="2">I3-H3</f>
        <v>3.9000000000000035E-2</v>
      </c>
      <c r="K3" s="7">
        <v>0</v>
      </c>
      <c r="L3" s="7">
        <v>0</v>
      </c>
      <c r="M3" s="7">
        <f t="shared" ref="M3:M24" si="3">L3-K3</f>
        <v>0</v>
      </c>
      <c r="N3" s="1">
        <v>-13</v>
      </c>
      <c r="O3" s="1">
        <v>-13</v>
      </c>
      <c r="P3" s="1">
        <f>O3-N3</f>
        <v>0</v>
      </c>
      <c r="Q3" s="2">
        <v>-3.4740000000000002</v>
      </c>
      <c r="R3" s="2">
        <v>-4.9029999999999996</v>
      </c>
      <c r="S3" s="2">
        <f t="shared" ref="S3:S24" si="4">R3-Q3</f>
        <v>-1.4289999999999994</v>
      </c>
      <c r="T3" s="1">
        <v>0</v>
      </c>
      <c r="U3" s="1">
        <v>0</v>
      </c>
      <c r="V3" s="1">
        <v>804</v>
      </c>
      <c r="W3" s="1">
        <v>837</v>
      </c>
      <c r="X3" s="1">
        <f t="shared" ref="X3:X24" si="5">W3-V3</f>
        <v>33</v>
      </c>
      <c r="Y3" s="1">
        <v>0</v>
      </c>
      <c r="Z3" s="1">
        <v>1</v>
      </c>
    </row>
    <row r="4" spans="1:29" x14ac:dyDescent="0.35">
      <c r="A4" s="3">
        <v>69</v>
      </c>
      <c r="B4" s="2">
        <v>1</v>
      </c>
      <c r="C4" s="2">
        <v>0.94550000000000001</v>
      </c>
      <c r="D4" s="2">
        <f t="shared" si="0"/>
        <v>-5.4499999999999993E-2</v>
      </c>
      <c r="E4" s="2">
        <v>1</v>
      </c>
      <c r="F4" s="2">
        <v>0.92730000000000001</v>
      </c>
      <c r="G4" s="2">
        <f t="shared" si="1"/>
        <v>-7.2699999999999987E-2</v>
      </c>
      <c r="H4" s="2">
        <v>1</v>
      </c>
      <c r="I4" s="2">
        <v>0.45800000000000002</v>
      </c>
      <c r="J4" s="2">
        <f t="shared" si="2"/>
        <v>-0.54200000000000004</v>
      </c>
      <c r="K4" s="7">
        <f>1.2*10^-26</f>
        <v>1.1999999999999998E-26</v>
      </c>
      <c r="L4" s="7">
        <f>1.9*10^-29</f>
        <v>1.9000000000000002E-29</v>
      </c>
      <c r="M4" s="7">
        <f t="shared" si="3"/>
        <v>-1.1980999999999997E-26</v>
      </c>
      <c r="N4" s="1">
        <v>28</v>
      </c>
      <c r="O4" s="1">
        <f>-(41578+836-42411)</f>
        <v>-3</v>
      </c>
      <c r="P4" s="1">
        <f t="shared" ref="P4:P24" si="6">O4-N4</f>
        <v>-31</v>
      </c>
      <c r="Q4" s="2">
        <v>-6.0830000000000002</v>
      </c>
      <c r="R4" s="2">
        <v>-4.6130000000000004</v>
      </c>
      <c r="S4" s="2">
        <f t="shared" si="4"/>
        <v>1.4699999999999998</v>
      </c>
      <c r="T4" s="1">
        <v>0</v>
      </c>
      <c r="U4" s="1">
        <v>0</v>
      </c>
      <c r="V4" s="1">
        <v>144</v>
      </c>
      <c r="W4" s="1">
        <v>168</v>
      </c>
      <c r="X4" s="1">
        <f t="shared" si="5"/>
        <v>24</v>
      </c>
      <c r="Y4" s="1">
        <v>0</v>
      </c>
      <c r="Z4" s="1">
        <v>1</v>
      </c>
    </row>
    <row r="5" spans="1:29" x14ac:dyDescent="0.35">
      <c r="A5" s="3">
        <v>70</v>
      </c>
      <c r="B5" s="2">
        <v>0.99109999999999998</v>
      </c>
      <c r="C5" s="2">
        <v>0.99180000000000001</v>
      </c>
      <c r="D5" s="2">
        <f t="shared" si="0"/>
        <v>7.0000000000003393E-4</v>
      </c>
      <c r="E5" s="2">
        <v>0.99109999999999998</v>
      </c>
      <c r="F5" s="2">
        <v>0.98360000000000003</v>
      </c>
      <c r="G5" s="2">
        <f t="shared" si="1"/>
        <v>-7.4999999999999512E-3</v>
      </c>
      <c r="H5" s="2">
        <v>0.83</v>
      </c>
      <c r="I5" s="2">
        <v>0.90400000000000003</v>
      </c>
      <c r="J5" s="2">
        <f t="shared" si="2"/>
        <v>7.4000000000000066E-2</v>
      </c>
      <c r="K5" s="7">
        <f>2.5*10^-44</f>
        <v>2.4999999999999997E-44</v>
      </c>
      <c r="L5" s="7">
        <v>0</v>
      </c>
      <c r="M5" s="7">
        <f t="shared" si="3"/>
        <v>-2.4999999999999997E-44</v>
      </c>
      <c r="N5" s="1">
        <v>160</v>
      </c>
      <c r="O5" s="1">
        <f>-(42411+167-42714)</f>
        <v>136</v>
      </c>
      <c r="P5" s="1">
        <f t="shared" si="6"/>
        <v>-24</v>
      </c>
      <c r="Q5" s="2">
        <v>-4.7009999999999996</v>
      </c>
      <c r="R5" s="2">
        <v>-4.5449999999999999</v>
      </c>
      <c r="S5" s="2">
        <f t="shared" si="4"/>
        <v>0.15599999999999969</v>
      </c>
      <c r="T5" s="1">
        <v>0</v>
      </c>
      <c r="U5" s="1">
        <v>0</v>
      </c>
      <c r="V5" s="1">
        <v>378</v>
      </c>
      <c r="W5" s="1">
        <v>420</v>
      </c>
      <c r="X5" s="1">
        <f t="shared" si="5"/>
        <v>42</v>
      </c>
      <c r="Y5" s="1">
        <v>0</v>
      </c>
      <c r="Z5" s="1">
        <v>0</v>
      </c>
    </row>
    <row r="6" spans="1:29" x14ac:dyDescent="0.35">
      <c r="A6" s="3">
        <v>71</v>
      </c>
      <c r="B6" s="2">
        <v>1</v>
      </c>
      <c r="C6" s="2">
        <v>1</v>
      </c>
      <c r="D6" s="2">
        <f t="shared" si="0"/>
        <v>0</v>
      </c>
      <c r="E6" s="2">
        <v>1</v>
      </c>
      <c r="F6" s="2">
        <v>1</v>
      </c>
      <c r="G6" s="2">
        <f t="shared" si="1"/>
        <v>0</v>
      </c>
      <c r="H6" s="2">
        <v>1</v>
      </c>
      <c r="I6" s="2">
        <v>1</v>
      </c>
      <c r="J6" s="2">
        <f t="shared" si="2"/>
        <v>0</v>
      </c>
      <c r="K6" s="7">
        <v>0</v>
      </c>
      <c r="L6" s="7">
        <v>0</v>
      </c>
      <c r="M6" s="7">
        <f t="shared" si="3"/>
        <v>0</v>
      </c>
      <c r="N6" s="1">
        <f>-(42714+378-43141-1)</f>
        <v>50</v>
      </c>
      <c r="O6" s="1">
        <f>-(42714+419-43141)</f>
        <v>8</v>
      </c>
      <c r="P6" s="1">
        <f t="shared" si="6"/>
        <v>-42</v>
      </c>
      <c r="Q6" s="2">
        <v>-3.4929999999999999</v>
      </c>
      <c r="R6" s="2">
        <v>-3.4929999999999999</v>
      </c>
      <c r="S6" s="2">
        <f t="shared" si="4"/>
        <v>0</v>
      </c>
      <c r="T6" s="1">
        <v>1</v>
      </c>
      <c r="U6" s="1">
        <v>1</v>
      </c>
      <c r="V6" s="1">
        <v>828</v>
      </c>
      <c r="W6" s="1">
        <v>828</v>
      </c>
      <c r="X6" s="1">
        <f t="shared" si="5"/>
        <v>0</v>
      </c>
      <c r="Y6" s="1">
        <v>1</v>
      </c>
      <c r="Z6" s="1">
        <v>1</v>
      </c>
    </row>
    <row r="7" spans="1:29" x14ac:dyDescent="0.35">
      <c r="A7" s="3">
        <v>72</v>
      </c>
      <c r="B7" s="2">
        <v>1</v>
      </c>
      <c r="C7" s="2">
        <v>0.99219999999999997</v>
      </c>
      <c r="D7" s="2">
        <f t="shared" si="0"/>
        <v>-7.8000000000000291E-3</v>
      </c>
      <c r="E7" s="2">
        <v>1</v>
      </c>
      <c r="F7" s="2">
        <v>0.99219999999999997</v>
      </c>
      <c r="G7" s="2">
        <f t="shared" si="1"/>
        <v>-7.8000000000000291E-3</v>
      </c>
      <c r="H7" s="2">
        <v>0.72199999999999998</v>
      </c>
      <c r="I7" s="2">
        <v>1</v>
      </c>
      <c r="J7" s="2">
        <f t="shared" si="2"/>
        <v>0.27800000000000002</v>
      </c>
      <c r="K7" s="7">
        <v>0</v>
      </c>
      <c r="L7" s="7">
        <v>0</v>
      </c>
      <c r="M7" s="7">
        <f t="shared" si="3"/>
        <v>0</v>
      </c>
      <c r="N7" s="1">
        <f>-(43141+827-43965)</f>
        <v>-3</v>
      </c>
      <c r="O7" s="1">
        <f>-(43141+827-43965)</f>
        <v>-3</v>
      </c>
      <c r="P7" s="1">
        <f t="shared" si="6"/>
        <v>0</v>
      </c>
      <c r="Q7" s="2">
        <v>-5.5839999999999996</v>
      </c>
      <c r="R7" s="2">
        <v>-3.702</v>
      </c>
      <c r="S7" s="2">
        <f t="shared" si="4"/>
        <v>1.8819999999999997</v>
      </c>
      <c r="T7" s="1">
        <v>0</v>
      </c>
      <c r="U7" s="1">
        <v>0</v>
      </c>
      <c r="V7" s="1">
        <v>291</v>
      </c>
      <c r="W7" s="1">
        <v>402</v>
      </c>
      <c r="X7" s="1">
        <f t="shared" si="5"/>
        <v>111</v>
      </c>
      <c r="Y7" s="1">
        <v>0</v>
      </c>
      <c r="Z7" s="1">
        <v>1</v>
      </c>
    </row>
    <row r="8" spans="1:29" x14ac:dyDescent="0.35">
      <c r="A8" s="3">
        <v>72.5</v>
      </c>
      <c r="C8" s="2">
        <v>0.97619999999999996</v>
      </c>
      <c r="D8" s="2">
        <f t="shared" si="0"/>
        <v>0.97619999999999996</v>
      </c>
      <c r="F8" s="2">
        <v>0.90480000000000005</v>
      </c>
      <c r="G8" s="2">
        <f t="shared" si="1"/>
        <v>0.90480000000000005</v>
      </c>
      <c r="I8" s="2">
        <v>0.89400000000000002</v>
      </c>
      <c r="J8" s="2">
        <f t="shared" si="2"/>
        <v>0.89400000000000002</v>
      </c>
      <c r="L8" s="7">
        <f>9.5*10^-8</f>
        <v>9.5000000000000004E-8</v>
      </c>
      <c r="M8" s="7">
        <f t="shared" si="3"/>
        <v>9.5000000000000004E-8</v>
      </c>
      <c r="O8" s="1">
        <f>-(43965+401-44333)</f>
        <v>-33</v>
      </c>
      <c r="P8" s="1">
        <f t="shared" si="6"/>
        <v>-33</v>
      </c>
      <c r="R8" s="2">
        <v>-5.3179999999999996</v>
      </c>
      <c r="S8" s="2">
        <f t="shared" si="4"/>
        <v>-5.3179999999999996</v>
      </c>
      <c r="U8" s="1">
        <v>0</v>
      </c>
      <c r="W8" s="1">
        <v>156</v>
      </c>
      <c r="X8" s="1">
        <f t="shared" si="5"/>
        <v>156</v>
      </c>
      <c r="Z8" s="1">
        <v>0</v>
      </c>
    </row>
    <row r="9" spans="1:29" x14ac:dyDescent="0.35">
      <c r="A9" s="3">
        <v>73</v>
      </c>
      <c r="B9" s="2">
        <v>0.98080000000000001</v>
      </c>
      <c r="C9" s="2">
        <v>0.98080000000000001</v>
      </c>
      <c r="D9" s="2">
        <f t="shared" si="0"/>
        <v>0</v>
      </c>
      <c r="E9" s="2">
        <v>0.98080000000000001</v>
      </c>
      <c r="F9" s="2">
        <v>0.98080000000000001</v>
      </c>
      <c r="G9" s="2">
        <f t="shared" si="1"/>
        <v>0</v>
      </c>
      <c r="H9" s="2">
        <v>1</v>
      </c>
      <c r="I9" s="2">
        <v>1</v>
      </c>
      <c r="J9" s="2">
        <f t="shared" si="2"/>
        <v>0</v>
      </c>
      <c r="K9" s="7">
        <f>1.8*10^-29</f>
        <v>1.8000000000000002E-29</v>
      </c>
      <c r="L9" s="7">
        <f>1.9*10^-29</f>
        <v>1.9000000000000002E-29</v>
      </c>
      <c r="M9" s="7">
        <f t="shared" si="3"/>
        <v>1.0000000000000001E-30</v>
      </c>
      <c r="N9" s="1">
        <f>-(43965+290-44485)</f>
        <v>230</v>
      </c>
      <c r="O9" s="1">
        <f>-(44333+155-44485)</f>
        <v>-3</v>
      </c>
      <c r="P9" s="1">
        <f t="shared" si="6"/>
        <v>-233</v>
      </c>
      <c r="Q9" s="2">
        <v>-4.7009999999999996</v>
      </c>
      <c r="R9" s="2">
        <v>-4.7009999999999996</v>
      </c>
      <c r="S9" s="2">
        <f t="shared" si="4"/>
        <v>0</v>
      </c>
      <c r="T9" s="1">
        <v>0</v>
      </c>
      <c r="U9" s="1">
        <v>1</v>
      </c>
      <c r="V9" s="1">
        <v>159</v>
      </c>
      <c r="W9" s="1">
        <v>159</v>
      </c>
      <c r="X9" s="1">
        <f t="shared" si="5"/>
        <v>0</v>
      </c>
      <c r="Y9" s="1">
        <v>0</v>
      </c>
      <c r="Z9" s="1">
        <v>0</v>
      </c>
    </row>
    <row r="10" spans="1:29" x14ac:dyDescent="0.35">
      <c r="A10" s="3">
        <v>74</v>
      </c>
      <c r="B10" s="2">
        <v>1</v>
      </c>
      <c r="C10" s="2">
        <v>1</v>
      </c>
      <c r="D10" s="2">
        <f t="shared" si="0"/>
        <v>0</v>
      </c>
      <c r="E10" s="2">
        <v>1</v>
      </c>
      <c r="F10" s="2">
        <v>1</v>
      </c>
      <c r="G10" s="2">
        <f t="shared" si="1"/>
        <v>0</v>
      </c>
      <c r="H10" s="2">
        <v>0.9</v>
      </c>
      <c r="I10" s="2">
        <v>1</v>
      </c>
      <c r="J10" s="2">
        <f t="shared" si="2"/>
        <v>9.9999999999999978E-2</v>
      </c>
      <c r="K10" s="7">
        <v>0</v>
      </c>
      <c r="L10" s="7">
        <v>0</v>
      </c>
      <c r="M10" s="7">
        <f t="shared" si="3"/>
        <v>0</v>
      </c>
      <c r="N10" s="1">
        <f>-(44485+158-44646)</f>
        <v>3</v>
      </c>
      <c r="O10" s="1">
        <f>-(44485+158-44646)</f>
        <v>3</v>
      </c>
      <c r="P10" s="1">
        <f t="shared" si="6"/>
        <v>0</v>
      </c>
      <c r="Q10" s="2">
        <v>-2.9849999999999999</v>
      </c>
      <c r="R10" s="2">
        <v>-4.7389999999999999</v>
      </c>
      <c r="S10" s="2">
        <f t="shared" si="4"/>
        <v>-1.754</v>
      </c>
      <c r="T10" s="1">
        <v>1</v>
      </c>
      <c r="U10" s="1">
        <v>0</v>
      </c>
      <c r="V10" s="1">
        <v>219</v>
      </c>
      <c r="W10" s="1">
        <v>243</v>
      </c>
      <c r="X10" s="1">
        <f t="shared" si="5"/>
        <v>24</v>
      </c>
      <c r="Y10" s="1">
        <v>0</v>
      </c>
      <c r="Z10" s="1">
        <v>0</v>
      </c>
    </row>
    <row r="11" spans="1:29" x14ac:dyDescent="0.35">
      <c r="A11" s="3">
        <v>75</v>
      </c>
      <c r="B11" s="2">
        <v>0.99029999999999996</v>
      </c>
      <c r="C11" s="2">
        <v>1</v>
      </c>
      <c r="D11" s="2">
        <f t="shared" si="0"/>
        <v>9.7000000000000419E-3</v>
      </c>
      <c r="E11" s="2">
        <v>0.99029999999999996</v>
      </c>
      <c r="F11" s="2">
        <v>1</v>
      </c>
      <c r="G11" s="2">
        <f t="shared" si="1"/>
        <v>9.7000000000000419E-3</v>
      </c>
      <c r="H11" s="2">
        <v>1</v>
      </c>
      <c r="I11" s="2">
        <v>1</v>
      </c>
      <c r="J11" s="2">
        <f t="shared" si="2"/>
        <v>0</v>
      </c>
      <c r="K11" s="7">
        <v>0</v>
      </c>
      <c r="L11" s="7">
        <v>0</v>
      </c>
      <c r="M11" s="7">
        <f t="shared" si="3"/>
        <v>0</v>
      </c>
      <c r="N11" s="1">
        <f>-(44646+218-44885)</f>
        <v>21</v>
      </c>
      <c r="O11" s="1">
        <f>-(44646+242-44885)</f>
        <v>-3</v>
      </c>
      <c r="P11" s="1">
        <f t="shared" si="6"/>
        <v>-24</v>
      </c>
      <c r="Q11" s="2">
        <v>-6.399</v>
      </c>
      <c r="R11" s="2">
        <v>-3.2850000000000001</v>
      </c>
      <c r="S11" s="2">
        <f t="shared" si="4"/>
        <v>3.1139999999999999</v>
      </c>
      <c r="T11" s="1">
        <v>0</v>
      </c>
      <c r="U11" s="1">
        <v>0</v>
      </c>
      <c r="V11" s="1">
        <v>312</v>
      </c>
      <c r="W11" s="1">
        <v>651</v>
      </c>
      <c r="X11" s="1">
        <f t="shared" si="5"/>
        <v>339</v>
      </c>
      <c r="Y11" s="1">
        <v>0</v>
      </c>
      <c r="Z11" s="1">
        <v>1</v>
      </c>
    </row>
    <row r="12" spans="1:29" x14ac:dyDescent="0.35">
      <c r="A12" s="3">
        <v>76</v>
      </c>
      <c r="B12" s="2">
        <v>0.98860000000000003</v>
      </c>
      <c r="C12" s="2">
        <v>0.98860000000000003</v>
      </c>
      <c r="D12" s="2">
        <f t="shared" si="0"/>
        <v>0</v>
      </c>
      <c r="E12" s="2">
        <v>0.9829</v>
      </c>
      <c r="F12" s="2">
        <v>0.9829</v>
      </c>
      <c r="G12" s="2">
        <f t="shared" si="1"/>
        <v>0</v>
      </c>
      <c r="H12" s="2">
        <v>1</v>
      </c>
      <c r="I12" s="2">
        <v>1</v>
      </c>
      <c r="J12" s="2">
        <f t="shared" si="2"/>
        <v>0</v>
      </c>
      <c r="K12" s="7">
        <v>0</v>
      </c>
      <c r="L12" s="7">
        <v>0</v>
      </c>
      <c r="M12" s="7">
        <f t="shared" si="3"/>
        <v>0</v>
      </c>
      <c r="N12" s="1">
        <f>-(44885+311-45357)</f>
        <v>161</v>
      </c>
      <c r="O12" s="1">
        <f>-(44885+650-45357)</f>
        <v>-178</v>
      </c>
      <c r="P12" s="1">
        <f t="shared" si="6"/>
        <v>-339</v>
      </c>
      <c r="Q12" s="2">
        <v>-4.4169999999999998</v>
      </c>
      <c r="R12" s="2">
        <v>-4.4169999999999998</v>
      </c>
      <c r="S12" s="2">
        <f t="shared" si="4"/>
        <v>0</v>
      </c>
      <c r="T12" s="1">
        <v>0</v>
      </c>
      <c r="U12" s="1">
        <v>0</v>
      </c>
      <c r="V12" s="1">
        <v>528</v>
      </c>
      <c r="W12" s="1">
        <v>528</v>
      </c>
      <c r="X12" s="1">
        <f t="shared" si="5"/>
        <v>0</v>
      </c>
      <c r="Y12" s="1">
        <v>0</v>
      </c>
      <c r="Z12" s="1">
        <v>0</v>
      </c>
    </row>
    <row r="13" spans="1:29" x14ac:dyDescent="0.35">
      <c r="A13" s="3">
        <v>77</v>
      </c>
      <c r="B13" s="2">
        <v>0.93330000000000002</v>
      </c>
      <c r="C13" s="2">
        <v>0.93330000000000002</v>
      </c>
      <c r="D13" s="2">
        <f t="shared" si="0"/>
        <v>0</v>
      </c>
      <c r="E13" s="2">
        <v>0.875</v>
      </c>
      <c r="F13" s="2">
        <v>0.875</v>
      </c>
      <c r="G13" s="2">
        <f t="shared" si="1"/>
        <v>0</v>
      </c>
      <c r="H13" s="2">
        <v>1</v>
      </c>
      <c r="I13" s="2">
        <v>1</v>
      </c>
      <c r="J13" s="2">
        <f t="shared" si="2"/>
        <v>0</v>
      </c>
      <c r="K13" s="7">
        <v>0</v>
      </c>
      <c r="L13" s="7">
        <v>0</v>
      </c>
      <c r="M13" s="7">
        <f t="shared" si="3"/>
        <v>0</v>
      </c>
      <c r="N13" s="1">
        <f>-(45357+530-45881)</f>
        <v>-6</v>
      </c>
      <c r="O13" s="1">
        <f>-(45357+527-45881)</f>
        <v>-3</v>
      </c>
      <c r="P13" s="1">
        <f t="shared" si="6"/>
        <v>3</v>
      </c>
      <c r="Q13" s="2">
        <v>-3.0619999999999998</v>
      </c>
      <c r="R13" s="2">
        <v>-3.0619999999999998</v>
      </c>
      <c r="S13" s="2">
        <f t="shared" si="4"/>
        <v>0</v>
      </c>
      <c r="T13" s="1">
        <v>1</v>
      </c>
      <c r="U13" s="1">
        <v>1</v>
      </c>
      <c r="V13" s="1">
        <v>363</v>
      </c>
      <c r="W13" s="1">
        <v>363</v>
      </c>
      <c r="X13" s="1">
        <f t="shared" si="5"/>
        <v>0</v>
      </c>
      <c r="Y13" s="1">
        <v>1</v>
      </c>
      <c r="Z13" s="1">
        <v>1</v>
      </c>
    </row>
    <row r="14" spans="1:29" x14ac:dyDescent="0.35">
      <c r="A14" s="3">
        <v>78</v>
      </c>
      <c r="B14" s="2">
        <v>1</v>
      </c>
      <c r="C14" s="2">
        <v>1</v>
      </c>
      <c r="D14" s="2">
        <f t="shared" si="0"/>
        <v>0</v>
      </c>
      <c r="E14" s="2">
        <v>1</v>
      </c>
      <c r="F14" s="2">
        <v>1</v>
      </c>
      <c r="G14" s="2">
        <f t="shared" si="1"/>
        <v>0</v>
      </c>
      <c r="H14" s="2">
        <v>1</v>
      </c>
      <c r="I14" s="2">
        <v>1</v>
      </c>
      <c r="J14" s="2">
        <f t="shared" si="2"/>
        <v>0</v>
      </c>
      <c r="K14" s="7">
        <v>0</v>
      </c>
      <c r="L14" s="7">
        <v>0</v>
      </c>
      <c r="M14" s="7">
        <f t="shared" si="3"/>
        <v>0</v>
      </c>
      <c r="N14" s="1">
        <f>-(45881+362-46269)</f>
        <v>26</v>
      </c>
      <c r="O14" s="1">
        <f>-(45881+362-46269)</f>
        <v>26</v>
      </c>
      <c r="P14" s="1">
        <f t="shared" si="6"/>
        <v>0</v>
      </c>
      <c r="Q14" s="2">
        <v>-3.7669999999999999</v>
      </c>
      <c r="R14" s="2">
        <v>-3.7669999999999999</v>
      </c>
      <c r="S14" s="2">
        <f t="shared" si="4"/>
        <v>0</v>
      </c>
      <c r="T14" s="1">
        <v>0</v>
      </c>
      <c r="U14" s="1">
        <v>0</v>
      </c>
      <c r="V14" s="1">
        <v>381</v>
      </c>
      <c r="W14" s="1">
        <v>381</v>
      </c>
      <c r="X14" s="1">
        <f t="shared" si="5"/>
        <v>0</v>
      </c>
      <c r="Y14" s="1">
        <v>0</v>
      </c>
      <c r="Z14" s="1">
        <v>0</v>
      </c>
    </row>
    <row r="15" spans="1:29" x14ac:dyDescent="0.35">
      <c r="A15" s="3">
        <v>79</v>
      </c>
      <c r="B15" s="2">
        <v>1</v>
      </c>
      <c r="C15" s="2">
        <v>1</v>
      </c>
      <c r="D15" s="2">
        <f t="shared" si="0"/>
        <v>0</v>
      </c>
      <c r="E15" s="2">
        <v>1</v>
      </c>
      <c r="F15" s="2">
        <v>1</v>
      </c>
      <c r="G15" s="2">
        <f t="shared" si="1"/>
        <v>0</v>
      </c>
      <c r="H15" s="2">
        <v>1</v>
      </c>
      <c r="I15" s="2">
        <v>1</v>
      </c>
      <c r="J15" s="2">
        <f t="shared" si="2"/>
        <v>0</v>
      </c>
      <c r="K15" s="7">
        <f>4.3*10^-39</f>
        <v>4.2999999999999999E-39</v>
      </c>
      <c r="L15" s="7">
        <f>4.3*10^-39</f>
        <v>4.2999999999999999E-39</v>
      </c>
      <c r="M15" s="7">
        <f t="shared" si="3"/>
        <v>0</v>
      </c>
      <c r="N15" s="1">
        <f>-(46269+380-46646)</f>
        <v>-3</v>
      </c>
      <c r="O15" s="1">
        <f>-(46269+380-46646)</f>
        <v>-3</v>
      </c>
      <c r="P15" s="1">
        <f t="shared" si="6"/>
        <v>0</v>
      </c>
      <c r="Q15" s="2">
        <v>-3.5089999999999999</v>
      </c>
      <c r="R15" s="2">
        <v>-3.5089999999999999</v>
      </c>
      <c r="S15" s="2">
        <f t="shared" si="4"/>
        <v>0</v>
      </c>
      <c r="T15" s="1">
        <v>1</v>
      </c>
      <c r="U15" s="1">
        <v>1</v>
      </c>
      <c r="V15" s="1">
        <v>198</v>
      </c>
      <c r="W15" s="1">
        <v>198</v>
      </c>
      <c r="X15" s="1">
        <f t="shared" si="5"/>
        <v>0</v>
      </c>
      <c r="Y15" s="1">
        <v>0</v>
      </c>
      <c r="Z15" s="1">
        <v>0</v>
      </c>
    </row>
    <row r="16" spans="1:29" x14ac:dyDescent="0.35">
      <c r="A16" s="3">
        <v>80</v>
      </c>
      <c r="B16" s="2">
        <v>1</v>
      </c>
      <c r="C16" s="2">
        <v>1</v>
      </c>
      <c r="D16" s="2">
        <f t="shared" si="0"/>
        <v>0</v>
      </c>
      <c r="E16" s="2">
        <v>1</v>
      </c>
      <c r="F16" s="2">
        <v>1</v>
      </c>
      <c r="G16" s="2">
        <f t="shared" si="1"/>
        <v>0</v>
      </c>
      <c r="H16" s="2">
        <v>1</v>
      </c>
      <c r="I16" s="2">
        <v>1</v>
      </c>
      <c r="J16" s="2">
        <f t="shared" si="2"/>
        <v>0</v>
      </c>
      <c r="K16" s="7">
        <f>6.6*10^-12</f>
        <v>6.5999999999999993E-12</v>
      </c>
      <c r="L16" s="7">
        <f>6.6*10^-12</f>
        <v>6.5999999999999993E-12</v>
      </c>
      <c r="M16" s="7">
        <f t="shared" si="3"/>
        <v>0</v>
      </c>
      <c r="N16" s="1">
        <f>-(46646+197-46840)</f>
        <v>-3</v>
      </c>
      <c r="O16" s="1">
        <f>-(46646+197-46840)</f>
        <v>-3</v>
      </c>
      <c r="P16" s="1">
        <f t="shared" si="6"/>
        <v>0</v>
      </c>
      <c r="Q16" s="2">
        <v>-4.2640000000000002</v>
      </c>
      <c r="R16" s="2">
        <v>-4.2640000000000002</v>
      </c>
      <c r="S16" s="2">
        <f t="shared" si="4"/>
        <v>0</v>
      </c>
      <c r="T16" s="1">
        <v>0</v>
      </c>
      <c r="U16" s="1">
        <v>0</v>
      </c>
      <c r="V16" s="1">
        <v>93</v>
      </c>
      <c r="W16" s="1">
        <v>93</v>
      </c>
      <c r="X16" s="1">
        <f t="shared" si="5"/>
        <v>0</v>
      </c>
      <c r="Y16" s="1">
        <v>0</v>
      </c>
      <c r="Z16" s="1">
        <v>0</v>
      </c>
    </row>
    <row r="17" spans="1:29" x14ac:dyDescent="0.35">
      <c r="A17" s="3">
        <v>81</v>
      </c>
      <c r="B17" s="2">
        <v>1</v>
      </c>
      <c r="C17" s="2">
        <v>1</v>
      </c>
      <c r="D17" s="2">
        <f t="shared" si="0"/>
        <v>0</v>
      </c>
      <c r="E17" s="2">
        <v>1</v>
      </c>
      <c r="F17" s="2">
        <v>1</v>
      </c>
      <c r="G17" s="2">
        <f t="shared" si="1"/>
        <v>0</v>
      </c>
      <c r="H17" s="2">
        <v>1</v>
      </c>
      <c r="I17" s="2">
        <v>1</v>
      </c>
      <c r="J17" s="2">
        <f t="shared" si="2"/>
        <v>0</v>
      </c>
      <c r="K17" s="7">
        <f>8.4*10^-37</f>
        <v>8.4000000000000003E-37</v>
      </c>
      <c r="L17" s="7">
        <f>8.4*10^-37</f>
        <v>8.4000000000000003E-37</v>
      </c>
      <c r="M17" s="7">
        <f t="shared" si="3"/>
        <v>0</v>
      </c>
      <c r="N17" s="1">
        <f>-(46840+92-46929)</f>
        <v>-3</v>
      </c>
      <c r="O17" s="1">
        <f>-(46840+92-46929)</f>
        <v>-3</v>
      </c>
      <c r="P17" s="1">
        <f t="shared" si="6"/>
        <v>0</v>
      </c>
      <c r="Q17" s="2">
        <v>-3.5710000000000002</v>
      </c>
      <c r="R17" s="2">
        <v>-3.5710000000000002</v>
      </c>
      <c r="S17" s="2">
        <f t="shared" si="4"/>
        <v>0</v>
      </c>
      <c r="T17" s="1">
        <v>1</v>
      </c>
      <c r="U17" s="1">
        <v>1</v>
      </c>
      <c r="V17" s="1">
        <v>183</v>
      </c>
      <c r="W17" s="1">
        <v>183</v>
      </c>
      <c r="X17" s="1">
        <f t="shared" si="5"/>
        <v>0</v>
      </c>
      <c r="Y17" s="1">
        <v>0</v>
      </c>
      <c r="Z17" s="1">
        <v>0</v>
      </c>
    </row>
    <row r="18" spans="1:29" x14ac:dyDescent="0.35">
      <c r="A18" s="3">
        <v>82</v>
      </c>
      <c r="B18" s="2">
        <v>1</v>
      </c>
      <c r="C18" s="2">
        <v>1</v>
      </c>
      <c r="D18" s="2">
        <f t="shared" si="0"/>
        <v>0</v>
      </c>
      <c r="E18" s="2">
        <v>1</v>
      </c>
      <c r="F18" s="2">
        <v>1</v>
      </c>
      <c r="G18" s="2">
        <f t="shared" si="1"/>
        <v>0</v>
      </c>
      <c r="H18" s="2">
        <v>1</v>
      </c>
      <c r="I18" s="2">
        <v>1</v>
      </c>
      <c r="J18" s="2">
        <f t="shared" si="2"/>
        <v>0</v>
      </c>
      <c r="K18" s="7">
        <f>1.4*10^-22</f>
        <v>1.4E-22</v>
      </c>
      <c r="L18" s="7">
        <f>1.4*10^-22</f>
        <v>1.4E-22</v>
      </c>
      <c r="M18" s="7">
        <f t="shared" si="3"/>
        <v>0</v>
      </c>
      <c r="N18" s="1">
        <f>-(46929+182-47099)</f>
        <v>-12</v>
      </c>
      <c r="O18" s="1">
        <f>-(46929+182-47099)</f>
        <v>-12</v>
      </c>
      <c r="P18" s="1">
        <f t="shared" si="6"/>
        <v>0</v>
      </c>
      <c r="Q18" s="2">
        <v>-2.0950000000000002</v>
      </c>
      <c r="R18" s="2">
        <v>-2.0950000000000002</v>
      </c>
      <c r="S18" s="2">
        <f t="shared" si="4"/>
        <v>0</v>
      </c>
      <c r="T18" s="1">
        <v>1</v>
      </c>
      <c r="U18" s="1">
        <v>1</v>
      </c>
      <c r="V18" s="1">
        <v>129</v>
      </c>
      <c r="W18" s="1">
        <v>129</v>
      </c>
      <c r="X18" s="1">
        <f t="shared" si="5"/>
        <v>0</v>
      </c>
      <c r="Y18" s="1">
        <v>0</v>
      </c>
      <c r="Z18" s="1">
        <v>0</v>
      </c>
    </row>
    <row r="19" spans="1:29" x14ac:dyDescent="0.35">
      <c r="A19" s="3">
        <v>83</v>
      </c>
      <c r="B19" s="2">
        <v>0.90769999999999995</v>
      </c>
      <c r="C19" s="2">
        <v>0.90769999999999995</v>
      </c>
      <c r="D19" s="2">
        <f t="shared" si="0"/>
        <v>0</v>
      </c>
      <c r="E19" s="2">
        <v>0.78459999999999996</v>
      </c>
      <c r="F19" s="2">
        <v>0.78459999999999996</v>
      </c>
      <c r="G19" s="2">
        <f t="shared" si="1"/>
        <v>0</v>
      </c>
      <c r="H19" s="2">
        <v>1</v>
      </c>
      <c r="I19" s="2">
        <v>1</v>
      </c>
      <c r="J19" s="2">
        <f t="shared" si="2"/>
        <v>0</v>
      </c>
      <c r="K19" s="7">
        <f>1.6*10^-30</f>
        <v>1.5999999999999998E-30</v>
      </c>
      <c r="L19" s="7">
        <f>1.6*10^-30</f>
        <v>1.5999999999999998E-30</v>
      </c>
      <c r="M19" s="7">
        <f t="shared" si="3"/>
        <v>0</v>
      </c>
      <c r="N19" s="1">
        <f>-(47099+128-47230)</f>
        <v>3</v>
      </c>
      <c r="O19" s="1">
        <f>-(47099+128-47230)</f>
        <v>3</v>
      </c>
      <c r="P19" s="1">
        <f t="shared" si="6"/>
        <v>0</v>
      </c>
      <c r="Q19" s="2">
        <v>-5.101</v>
      </c>
      <c r="R19" s="2">
        <v>-5.101</v>
      </c>
      <c r="S19" s="2">
        <f t="shared" si="4"/>
        <v>0</v>
      </c>
      <c r="T19" s="1">
        <v>0</v>
      </c>
      <c r="U19" s="1">
        <v>0</v>
      </c>
      <c r="V19" s="1">
        <v>198</v>
      </c>
      <c r="W19" s="1">
        <v>198</v>
      </c>
      <c r="X19" s="1">
        <f t="shared" si="5"/>
        <v>0</v>
      </c>
      <c r="Y19" s="1">
        <v>0</v>
      </c>
      <c r="Z19" s="1">
        <v>0</v>
      </c>
    </row>
    <row r="20" spans="1:29" x14ac:dyDescent="0.35">
      <c r="A20" s="3">
        <v>84</v>
      </c>
      <c r="B20" s="2">
        <v>0</v>
      </c>
      <c r="C20" s="2">
        <v>0</v>
      </c>
      <c r="D20" s="2">
        <f t="shared" si="0"/>
        <v>0</v>
      </c>
      <c r="E20" s="2">
        <v>0</v>
      </c>
      <c r="F20" s="2">
        <v>0</v>
      </c>
      <c r="G20" s="2">
        <f t="shared" si="1"/>
        <v>0</v>
      </c>
      <c r="H20" s="2">
        <v>0</v>
      </c>
      <c r="I20" s="2">
        <v>0</v>
      </c>
      <c r="J20" s="2">
        <f t="shared" si="2"/>
        <v>0</v>
      </c>
      <c r="M20" s="7">
        <f t="shared" si="3"/>
        <v>0</v>
      </c>
      <c r="N20" s="1">
        <f>-(47230+197-47436)</f>
        <v>9</v>
      </c>
      <c r="O20" s="1">
        <f>-(47230+197-47436)</f>
        <v>9</v>
      </c>
      <c r="P20" s="1">
        <f t="shared" si="6"/>
        <v>0</v>
      </c>
      <c r="Q20" s="2">
        <v>-5.101</v>
      </c>
      <c r="R20" s="2">
        <v>-5.101</v>
      </c>
      <c r="S20" s="2">
        <f t="shared" si="4"/>
        <v>0</v>
      </c>
      <c r="T20" s="1">
        <v>0</v>
      </c>
      <c r="U20" s="1">
        <v>0</v>
      </c>
      <c r="V20" s="1">
        <v>147</v>
      </c>
      <c r="W20" s="1">
        <v>147</v>
      </c>
      <c r="X20" s="1">
        <f t="shared" si="5"/>
        <v>0</v>
      </c>
      <c r="Y20" s="1">
        <v>0</v>
      </c>
      <c r="Z20" s="1">
        <v>0</v>
      </c>
    </row>
    <row r="21" spans="1:29" x14ac:dyDescent="0.35">
      <c r="A21" s="3">
        <v>85</v>
      </c>
      <c r="B21" s="2">
        <v>0.98309999999999997</v>
      </c>
      <c r="C21" s="2">
        <v>0.98309999999999997</v>
      </c>
      <c r="D21" s="2">
        <f t="shared" si="0"/>
        <v>0</v>
      </c>
      <c r="E21" s="2">
        <v>0.97030000000000005</v>
      </c>
      <c r="F21" s="2">
        <v>0.97030000000000005</v>
      </c>
      <c r="G21" s="2">
        <f t="shared" si="1"/>
        <v>0</v>
      </c>
      <c r="H21" s="2">
        <v>1</v>
      </c>
      <c r="I21" s="2">
        <v>1</v>
      </c>
      <c r="J21" s="2">
        <f t="shared" si="2"/>
        <v>0</v>
      </c>
      <c r="K21" s="7">
        <v>0</v>
      </c>
      <c r="L21" s="7">
        <v>0</v>
      </c>
      <c r="M21" s="7">
        <f t="shared" si="3"/>
        <v>0</v>
      </c>
      <c r="N21" s="1">
        <f>-(47436+146-47591)</f>
        <v>9</v>
      </c>
      <c r="O21" s="1">
        <f>-(47436+146-47591)</f>
        <v>9</v>
      </c>
      <c r="P21" s="1">
        <f t="shared" si="6"/>
        <v>0</v>
      </c>
      <c r="Q21" s="2">
        <v>-5.0540000000000003</v>
      </c>
      <c r="R21" s="2">
        <v>-5.0540000000000003</v>
      </c>
      <c r="S21" s="2">
        <f t="shared" si="4"/>
        <v>0</v>
      </c>
      <c r="T21" s="1">
        <v>0</v>
      </c>
      <c r="U21" s="1">
        <v>0</v>
      </c>
      <c r="V21" s="1">
        <v>711</v>
      </c>
      <c r="W21" s="1">
        <v>711</v>
      </c>
      <c r="X21" s="1">
        <f t="shared" si="5"/>
        <v>0</v>
      </c>
      <c r="Y21" s="1">
        <v>1</v>
      </c>
      <c r="Z21" s="1">
        <v>1</v>
      </c>
    </row>
    <row r="22" spans="1:29" x14ac:dyDescent="0.35">
      <c r="A22" s="3">
        <v>86</v>
      </c>
      <c r="B22" s="2">
        <v>0.98460000000000003</v>
      </c>
      <c r="C22" s="2">
        <v>0.98460000000000003</v>
      </c>
      <c r="D22" s="2">
        <f t="shared" si="0"/>
        <v>0</v>
      </c>
      <c r="E22" s="2">
        <v>0.9385</v>
      </c>
      <c r="F22" s="2">
        <v>0.9385</v>
      </c>
      <c r="G22" s="2">
        <f t="shared" si="1"/>
        <v>0</v>
      </c>
      <c r="H22" s="2">
        <v>1</v>
      </c>
      <c r="I22" s="2">
        <v>1</v>
      </c>
      <c r="J22" s="2">
        <f t="shared" si="2"/>
        <v>0</v>
      </c>
      <c r="K22" s="7">
        <f>4.8*10^-36</f>
        <v>4.7999999999999993E-36</v>
      </c>
      <c r="L22" s="7">
        <f>4.9*10^-36</f>
        <v>4.9000000000000003E-36</v>
      </c>
      <c r="M22" s="7">
        <f t="shared" si="3"/>
        <v>1.0000000000000103E-37</v>
      </c>
      <c r="N22" s="1">
        <f>-(47591+710-48304)</f>
        <v>3</v>
      </c>
      <c r="O22" s="1">
        <f>-(47591+710-48304)</f>
        <v>3</v>
      </c>
      <c r="P22" s="1">
        <f t="shared" si="6"/>
        <v>0</v>
      </c>
      <c r="Q22" s="2">
        <v>-4.9459999999999997</v>
      </c>
      <c r="R22" s="2">
        <v>-4.9459999999999997</v>
      </c>
      <c r="S22" s="2">
        <f t="shared" si="4"/>
        <v>0</v>
      </c>
      <c r="T22" s="1">
        <v>0</v>
      </c>
      <c r="U22" s="1">
        <v>0</v>
      </c>
      <c r="V22" s="1">
        <v>198</v>
      </c>
      <c r="W22" s="1">
        <v>198</v>
      </c>
      <c r="X22" s="1">
        <f t="shared" si="5"/>
        <v>0</v>
      </c>
      <c r="Y22" s="1">
        <v>0</v>
      </c>
      <c r="Z22" s="1">
        <v>0</v>
      </c>
    </row>
    <row r="23" spans="1:29" x14ac:dyDescent="0.35">
      <c r="A23" s="3">
        <v>88</v>
      </c>
      <c r="B23" s="2">
        <v>0</v>
      </c>
      <c r="C23" s="2">
        <v>1</v>
      </c>
      <c r="D23" s="2">
        <f t="shared" si="0"/>
        <v>1</v>
      </c>
      <c r="E23" s="2">
        <v>0</v>
      </c>
      <c r="F23" s="2">
        <v>1</v>
      </c>
      <c r="G23" s="2">
        <f t="shared" si="1"/>
        <v>1</v>
      </c>
      <c r="H23" s="2">
        <v>0</v>
      </c>
      <c r="I23" s="2">
        <v>1</v>
      </c>
      <c r="J23" s="2">
        <f t="shared" si="2"/>
        <v>1</v>
      </c>
      <c r="L23" s="7">
        <f>6.3*10^-10</f>
        <v>6.3E-10</v>
      </c>
      <c r="M23" s="7">
        <f t="shared" si="3"/>
        <v>6.3E-10</v>
      </c>
      <c r="N23" s="1">
        <f>-(48545+125-48667)</f>
        <v>-3</v>
      </c>
      <c r="O23" s="1">
        <f>-(48304+197-48667)</f>
        <v>166</v>
      </c>
      <c r="P23" s="1">
        <f t="shared" si="6"/>
        <v>169</v>
      </c>
      <c r="Q23" s="2">
        <v>-3.5710000000000002</v>
      </c>
      <c r="R23" s="2">
        <v>-3.5710000000000002</v>
      </c>
      <c r="S23" s="2">
        <f t="shared" si="4"/>
        <v>0</v>
      </c>
      <c r="T23" s="1">
        <v>1</v>
      </c>
      <c r="U23" s="1">
        <v>1</v>
      </c>
      <c r="V23" s="1">
        <v>81</v>
      </c>
      <c r="W23" s="1">
        <v>81</v>
      </c>
      <c r="X23" s="1">
        <f t="shared" si="5"/>
        <v>0</v>
      </c>
      <c r="Y23" s="1">
        <v>1</v>
      </c>
      <c r="Z23" s="1">
        <v>1</v>
      </c>
    </row>
    <row r="24" spans="1:29" x14ac:dyDescent="0.35">
      <c r="A24" s="3">
        <v>90</v>
      </c>
      <c r="B24" s="2">
        <v>1</v>
      </c>
      <c r="C24" s="2">
        <v>1</v>
      </c>
      <c r="D24" s="2">
        <f t="shared" si="0"/>
        <v>0</v>
      </c>
      <c r="E24" s="2">
        <v>0.98939999999999995</v>
      </c>
      <c r="F24" s="2">
        <v>0.98939999999999995</v>
      </c>
      <c r="G24" s="2">
        <f t="shared" si="1"/>
        <v>0</v>
      </c>
      <c r="H24" s="2">
        <v>0.85499999999999998</v>
      </c>
      <c r="I24" s="2">
        <v>0.85499999999999998</v>
      </c>
      <c r="J24" s="2">
        <f t="shared" si="2"/>
        <v>0</v>
      </c>
      <c r="K24" s="7">
        <v>0</v>
      </c>
      <c r="L24" s="7">
        <v>0</v>
      </c>
      <c r="M24" s="7">
        <f t="shared" si="3"/>
        <v>0</v>
      </c>
      <c r="N24" s="1">
        <f>-(48768+413-48780)</f>
        <v>-401</v>
      </c>
      <c r="O24" s="1">
        <f>-(48667+80-48780)</f>
        <v>33</v>
      </c>
      <c r="P24" s="1">
        <f t="shared" si="6"/>
        <v>434</v>
      </c>
      <c r="Q24" s="2">
        <v>-4.7210000000000001</v>
      </c>
      <c r="R24" s="2">
        <v>-4.7210000000000001</v>
      </c>
      <c r="S24" s="2">
        <f t="shared" si="4"/>
        <v>0</v>
      </c>
      <c r="T24" s="1">
        <v>0</v>
      </c>
      <c r="U24" s="1">
        <v>0</v>
      </c>
      <c r="V24" s="1">
        <v>333</v>
      </c>
      <c r="W24" s="1">
        <v>333</v>
      </c>
      <c r="X24" s="1">
        <f t="shared" si="5"/>
        <v>0</v>
      </c>
      <c r="Y24" s="1">
        <v>0</v>
      </c>
      <c r="Z24" s="1">
        <v>0</v>
      </c>
    </row>
    <row r="25" spans="1:29" s="3" customFormat="1" x14ac:dyDescent="0.35">
      <c r="A25" s="3" t="s">
        <v>16</v>
      </c>
      <c r="B25" s="4">
        <f>AVERAGE(B2:B24)</f>
        <v>0.89408636363636351</v>
      </c>
      <c r="C25" s="4">
        <f>AVERAGE(C2:C24)</f>
        <v>0.93903478260869566</v>
      </c>
      <c r="D25" s="4">
        <f>AVERAGE(D2:D24)</f>
        <v>8.3821739130434794E-2</v>
      </c>
      <c r="E25" s="4">
        <f>AVERAGE(E2:E24)</f>
        <v>0.88010000000000022</v>
      </c>
      <c r="F25" s="4">
        <f>AVERAGE(F2:F24)</f>
        <v>0.9214869565217394</v>
      </c>
      <c r="G25" s="4">
        <f>AVERAGE(G2:G24)</f>
        <v>7.9652173913043495E-2</v>
      </c>
      <c r="H25" s="4">
        <f>AVERAGE(H2:H24)</f>
        <v>0.87581818181818183</v>
      </c>
      <c r="I25" s="4">
        <f>AVERAGE(I2:I24)</f>
        <v>0.91786956521739138</v>
      </c>
      <c r="J25" s="4">
        <f>AVERAGE(J2:J24)</f>
        <v>8.01304347826087E-2</v>
      </c>
      <c r="K25" s="6">
        <f>AVERAGE(K2:K24)</f>
        <v>3.300000000070006E-13</v>
      </c>
      <c r="L25" s="6">
        <f>AVERAGE(L2:L24)</f>
        <v>4.3471181818181884E-9</v>
      </c>
      <c r="M25" s="6">
        <f>AVERAGE(M2:M24)</f>
        <v>4.1578260869565222E-9</v>
      </c>
      <c r="N25" s="5">
        <f>AVERAGE(N2:N24)</f>
        <v>12</v>
      </c>
      <c r="O25" s="5">
        <f>AVERAGE(O2:O24)</f>
        <v>6.2608695652173916</v>
      </c>
      <c r="P25" s="5">
        <f>AVERAGE(P2:P24)</f>
        <v>-5.2173913043478262</v>
      </c>
      <c r="Q25" s="4">
        <f>AVERAGE(Q2:Q24)</f>
        <v>-4.3184545454545455</v>
      </c>
      <c r="R25" s="4">
        <f>AVERAGE(R2:R24)</f>
        <v>-4.2123913043478254</v>
      </c>
      <c r="S25" s="4">
        <f>AVERAGE(S2:S24)</f>
        <v>-8.1695652173913058E-2</v>
      </c>
      <c r="T25" s="5">
        <f>SUM(T2:T24)</f>
        <v>7</v>
      </c>
      <c r="U25" s="5">
        <f>SUM(U2:U24)</f>
        <v>7</v>
      </c>
      <c r="V25" s="5">
        <f>AVERAGE(V2:V24)</f>
        <v>314.86363636363637</v>
      </c>
      <c r="W25" s="5">
        <f>AVERAGE(W2:W24)</f>
        <v>332.86956521739131</v>
      </c>
      <c r="X25" s="5">
        <f>AVERAGE(X2:X24)</f>
        <v>31.695652173913043</v>
      </c>
      <c r="Y25" s="5">
        <f>SUM(Y2:Y24)</f>
        <v>4</v>
      </c>
      <c r="Z25" s="5">
        <f>SUM(Z2:Z24)</f>
        <v>8</v>
      </c>
      <c r="AA25" s="5"/>
      <c r="AB25" s="5"/>
      <c r="AC25" s="5"/>
    </row>
    <row r="26" spans="1:29" s="3" customFormat="1" x14ac:dyDescent="0.35">
      <c r="A26" s="3" t="s">
        <v>18</v>
      </c>
      <c r="B26" s="4">
        <f>VAR(B2:B24)</f>
        <v>8.4542935519480736E-2</v>
      </c>
      <c r="C26" s="4">
        <f>VAR(C2:C24)</f>
        <v>4.2707495098814038E-2</v>
      </c>
      <c r="D26" s="4">
        <f t="shared" ref="D26:Z26" si="7">VAR(D2:D24)</f>
        <v>8.156841541501976E-2</v>
      </c>
      <c r="E26" s="4">
        <f t="shared" si="7"/>
        <v>8.4340832380951844E-2</v>
      </c>
      <c r="F26" s="4">
        <f t="shared" si="7"/>
        <v>4.3574464822133792E-2</v>
      </c>
      <c r="G26" s="4">
        <f t="shared" si="7"/>
        <v>7.6284862608695658E-2</v>
      </c>
      <c r="H26" s="4">
        <f t="shared" si="7"/>
        <v>8.5688822510822452E-2</v>
      </c>
      <c r="I26" s="4">
        <f t="shared" si="7"/>
        <v>5.3640754940711494E-2</v>
      </c>
      <c r="J26" s="4">
        <f t="shared" si="7"/>
        <v>9.2709118577075117E-2</v>
      </c>
      <c r="K26" s="4">
        <f t="shared" si="7"/>
        <v>2.1779999999951357E-24</v>
      </c>
      <c r="L26" s="4">
        <f t="shared" si="7"/>
        <v>4.0998349242155806E-16</v>
      </c>
      <c r="M26" s="4">
        <f t="shared" si="7"/>
        <v>3.9217199960474312E-16</v>
      </c>
      <c r="N26" s="4">
        <f t="shared" si="7"/>
        <v>12719.142857142857</v>
      </c>
      <c r="O26" s="4">
        <f t="shared" si="7"/>
        <v>3654.1106719367585</v>
      </c>
      <c r="P26" s="4">
        <f t="shared" si="7"/>
        <v>17748.90513833992</v>
      </c>
      <c r="Q26" s="4">
        <f t="shared" si="7"/>
        <v>1.1166874025974007</v>
      </c>
      <c r="R26" s="4">
        <f t="shared" si="7"/>
        <v>0.66427388537549992</v>
      </c>
      <c r="S26" s="4">
        <f t="shared" si="7"/>
        <v>2.2122877667984184</v>
      </c>
      <c r="T26" s="4"/>
      <c r="U26" s="4"/>
      <c r="V26" s="4">
        <f t="shared" si="7"/>
        <v>48024.409090909088</v>
      </c>
      <c r="W26" s="4">
        <f t="shared" si="7"/>
        <v>53412.936758893287</v>
      </c>
      <c r="X26" s="4">
        <f t="shared" si="7"/>
        <v>6021.6758893280639</v>
      </c>
      <c r="Y26" s="4"/>
      <c r="Z26" s="4"/>
      <c r="AA26" s="5"/>
      <c r="AB26" s="5"/>
      <c r="AC26" s="5"/>
    </row>
    <row r="27" spans="1:29" s="3" customFormat="1" x14ac:dyDescent="0.35">
      <c r="A27" s="3" t="s">
        <v>17</v>
      </c>
      <c r="B27" s="4">
        <f>_xlfn.STDEV.P(B2:B24)</f>
        <v>0.28407758590576959</v>
      </c>
      <c r="C27" s="4">
        <f t="shared" ref="C27:Z27" si="8">_xlfn.STDEV.P(C2:C24)</f>
        <v>0.20211543109278465</v>
      </c>
      <c r="D27" s="4">
        <f t="shared" si="8"/>
        <v>0.27932411741718338</v>
      </c>
      <c r="E27" s="4">
        <f t="shared" si="8"/>
        <v>0.28373783353972654</v>
      </c>
      <c r="F27" s="4">
        <f t="shared" si="8"/>
        <v>0.20415661359198081</v>
      </c>
      <c r="G27" s="4">
        <f t="shared" si="8"/>
        <v>0.27012613618788511</v>
      </c>
      <c r="H27" s="4">
        <f t="shared" si="8"/>
        <v>0.2859962867469748</v>
      </c>
      <c r="I27" s="4">
        <f t="shared" si="8"/>
        <v>0.22651390289374909</v>
      </c>
      <c r="J27" s="4">
        <f t="shared" si="8"/>
        <v>0.29778899800797476</v>
      </c>
      <c r="K27" s="4">
        <f t="shared" si="8"/>
        <v>1.438436651366816E-12</v>
      </c>
      <c r="L27" s="4">
        <f t="shared" si="8"/>
        <v>1.9782514479450509E-8</v>
      </c>
      <c r="M27" s="4">
        <f t="shared" si="8"/>
        <v>1.9368041798286917E-8</v>
      </c>
      <c r="N27" s="4">
        <f t="shared" si="8"/>
        <v>110.18620603324175</v>
      </c>
      <c r="O27" s="4">
        <f t="shared" si="8"/>
        <v>59.120523466018383</v>
      </c>
      <c r="P27" s="4">
        <f t="shared" si="8"/>
        <v>130.29663698878039</v>
      </c>
      <c r="Q27" s="4">
        <f t="shared" si="8"/>
        <v>1.03243831985137</v>
      </c>
      <c r="R27" s="4">
        <f t="shared" si="8"/>
        <v>0.7971150557468506</v>
      </c>
      <c r="S27" s="4">
        <f t="shared" si="8"/>
        <v>1.4546825571769975</v>
      </c>
      <c r="T27" s="4"/>
      <c r="U27" s="4"/>
      <c r="V27" s="4">
        <f t="shared" si="8"/>
        <v>214.10623859420508</v>
      </c>
      <c r="W27" s="4">
        <f t="shared" si="8"/>
        <v>226.03237635498269</v>
      </c>
      <c r="X27" s="4">
        <f t="shared" si="8"/>
        <v>75.893767162658932</v>
      </c>
      <c r="Y27" s="4"/>
      <c r="Z27" s="4"/>
      <c r="AA27" s="5"/>
      <c r="AB27" s="5"/>
      <c r="AC27" s="5"/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8</vt:i4>
      </vt:variant>
    </vt:vector>
  </HeadingPairs>
  <TitlesOfParts>
    <vt:vector size="9" baseType="lpstr">
      <vt:lpstr>Sheet1</vt:lpstr>
      <vt:lpstr>Similarity</vt:lpstr>
      <vt:lpstr>Identity</vt:lpstr>
      <vt:lpstr>Alignment</vt:lpstr>
      <vt:lpstr>Gap</vt:lpstr>
      <vt:lpstr>SD Score</vt:lpstr>
      <vt:lpstr>Highest SD Score</vt:lpstr>
      <vt:lpstr>Length</vt:lpstr>
      <vt:lpstr>Longest ORF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Kathryn Atherton</dc:creator>
  <cp:lastModifiedBy>Kathryn Atherton</cp:lastModifiedBy>
  <dcterms:created xsi:type="dcterms:W3CDTF">2017-03-24T21:00:53Z</dcterms:created>
  <dcterms:modified xsi:type="dcterms:W3CDTF">2017-03-26T05:03:29Z</dcterms:modified>
</cp:coreProperties>
</file>