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\Desktop\venta conectores\"/>
    </mc:Choice>
  </mc:AlternateContent>
  <xr:revisionPtr revIDLastSave="0" documentId="13_ncr:1_{1970C91C-0817-40DD-B95D-1C577C07F009}" xr6:coauthVersionLast="47" xr6:coauthVersionMax="47" xr10:uidLastSave="{00000000-0000-0000-0000-000000000000}"/>
  <bookViews>
    <workbookView minimized="1" xWindow="4524" yWindow="3396" windowWidth="17280" windowHeight="8964" activeTab="6" xr2:uid="{00000000-000D-0000-FFFF-FFFF00000000}"/>
  </bookViews>
  <sheets>
    <sheet name="Hoja1" sheetId="1" r:id="rId1"/>
    <sheet name="Hoja8" sheetId="15" r:id="rId2"/>
    <sheet name="ventas" sheetId="2" r:id="rId3"/>
    <sheet name="semiconductores" sheetId="9" r:id="rId4"/>
    <sheet name="conectores rapidos blanco" sheetId="3" r:id="rId5"/>
    <sheet name="Hoja4" sheetId="5" r:id="rId6"/>
    <sheet name="INVENTARIO" sheetId="6" r:id="rId7"/>
    <sheet name="Hoja7" sheetId="14" r:id="rId8"/>
    <sheet name="cotizaciones china" sheetId="7" r:id="rId9"/>
    <sheet name="compras realizadas" sheetId="8" r:id="rId10"/>
    <sheet name="Hoja2" sheetId="10" r:id="rId11"/>
    <sheet name="Hoja3" sheetId="11" r:id="rId12"/>
    <sheet name="Hoja5" sheetId="12" r:id="rId13"/>
    <sheet name="Hoja6" sheetId="13" r:id="rId14"/>
  </sheets>
  <definedNames>
    <definedName name="_xlnm._FilterDatabase" localSheetId="2" hidden="1">ventas!$A$1:$Q$326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6" i="15"/>
  <c r="H7" i="15"/>
  <c r="H8" i="15"/>
  <c r="H9" i="15"/>
  <c r="H14" i="15" s="1"/>
  <c r="H10" i="15"/>
  <c r="H11" i="15"/>
  <c r="H12" i="15"/>
  <c r="H2" i="15"/>
  <c r="G3" i="15"/>
  <c r="G4" i="15"/>
  <c r="G5" i="15"/>
  <c r="G6" i="15"/>
  <c r="G7" i="15"/>
  <c r="G8" i="15"/>
  <c r="G9" i="15"/>
  <c r="G10" i="15"/>
  <c r="G11" i="15"/>
  <c r="G12" i="15"/>
  <c r="G2" i="15"/>
  <c r="L4" i="2"/>
  <c r="L3" i="2"/>
  <c r="L2" i="2"/>
  <c r="L1" i="2"/>
  <c r="O4" i="2"/>
  <c r="O3" i="2"/>
  <c r="O2" i="2"/>
  <c r="O1" i="2"/>
  <c r="L7" i="2"/>
  <c r="L6" i="2"/>
  <c r="L5" i="2"/>
  <c r="G339" i="2"/>
  <c r="N5" i="2"/>
  <c r="G334" i="2"/>
  <c r="G333" i="2"/>
  <c r="G332" i="2"/>
  <c r="G329" i="2"/>
  <c r="G328" i="2"/>
  <c r="G327" i="2"/>
  <c r="G325" i="2"/>
  <c r="G324" i="2"/>
  <c r="G323" i="2"/>
  <c r="G322" i="2"/>
  <c r="G317" i="2"/>
  <c r="G313" i="2"/>
  <c r="G312" i="2"/>
  <c r="G311" i="2"/>
  <c r="G304" i="2"/>
  <c r="G298" i="2"/>
  <c r="G297" i="2"/>
  <c r="G299" i="2"/>
  <c r="I294" i="2"/>
  <c r="J294" i="2" s="1"/>
  <c r="K294" i="2" s="1"/>
  <c r="J290" i="2"/>
  <c r="K290" i="2" s="1"/>
  <c r="I293" i="2"/>
  <c r="J293" i="2" s="1"/>
  <c r="K293" i="2" s="1"/>
  <c r="I292" i="2"/>
  <c r="J292" i="2" s="1"/>
  <c r="K292" i="2" s="1"/>
  <c r="I291" i="2"/>
  <c r="J291" i="2" s="1"/>
  <c r="K291" i="2" s="1"/>
  <c r="I290" i="2"/>
  <c r="I289" i="2"/>
  <c r="J289" i="2" s="1"/>
  <c r="K289" i="2" s="1"/>
  <c r="I288" i="2"/>
  <c r="J288" i="2" s="1"/>
  <c r="K288" i="2" s="1"/>
  <c r="I287" i="2"/>
  <c r="J287" i="2" s="1"/>
  <c r="K287" i="2" s="1"/>
  <c r="I286" i="2"/>
  <c r="J286" i="2" s="1"/>
  <c r="K286" i="2" s="1"/>
  <c r="I285" i="2"/>
  <c r="J285" i="2" s="1"/>
  <c r="K285" i="2" s="1"/>
  <c r="N4" i="2"/>
  <c r="I284" i="2"/>
  <c r="J284" i="2" s="1"/>
  <c r="K284" i="2" s="1"/>
  <c r="J283" i="2"/>
  <c r="K283" i="2" s="1"/>
  <c r="I282" i="2"/>
  <c r="I281" i="2"/>
  <c r="J281" i="2" s="1"/>
  <c r="K281" i="2" s="1"/>
  <c r="I280" i="2"/>
  <c r="I279" i="2"/>
  <c r="J279" i="2" s="1"/>
  <c r="K279" i="2" s="1"/>
  <c r="I278" i="2"/>
  <c r="J278" i="2" s="1"/>
  <c r="K278" i="2" s="1"/>
  <c r="I277" i="2"/>
  <c r="J277" i="2" s="1"/>
  <c r="K277" i="2" s="1"/>
  <c r="I276" i="2"/>
  <c r="J276" i="2" s="1"/>
  <c r="K276" i="2" s="1"/>
  <c r="I275" i="2"/>
  <c r="J275" i="2" s="1"/>
  <c r="K275" i="2" s="1"/>
  <c r="I274" i="2"/>
  <c r="I273" i="2"/>
  <c r="I271" i="2"/>
  <c r="J271" i="2" s="1"/>
  <c r="K271" i="2" s="1"/>
  <c r="G271" i="2"/>
  <c r="I272" i="2"/>
  <c r="J272" i="2" s="1"/>
  <c r="K272" i="2" s="1"/>
  <c r="I270" i="2"/>
  <c r="J270" i="2" s="1"/>
  <c r="K270" i="2" s="1"/>
  <c r="I269" i="2"/>
  <c r="I268" i="2"/>
  <c r="I267" i="2"/>
  <c r="J267" i="2" s="1"/>
  <c r="K267" i="2" s="1"/>
  <c r="I265" i="2"/>
  <c r="J265" i="2" s="1"/>
  <c r="K265" i="2" s="1"/>
  <c r="I266" i="2"/>
  <c r="I264" i="2"/>
  <c r="J264" i="2" s="1"/>
  <c r="K264" i="2" s="1"/>
  <c r="I263" i="2"/>
  <c r="J263" i="2" s="1"/>
  <c r="K263" i="2" s="1"/>
  <c r="I262" i="2"/>
  <c r="J262" i="2" s="1"/>
  <c r="K262" i="2" s="1"/>
  <c r="I261" i="2"/>
  <c r="I260" i="2"/>
  <c r="I259" i="2"/>
  <c r="I258" i="2"/>
  <c r="J258" i="2" s="1"/>
  <c r="K258" i="2" s="1"/>
  <c r="I257" i="2"/>
  <c r="J257" i="2" s="1"/>
  <c r="K257" i="2" s="1"/>
  <c r="I256" i="2"/>
  <c r="J256" i="2" s="1"/>
  <c r="K256" i="2" s="1"/>
  <c r="I255" i="2"/>
  <c r="J255" i="2" s="1"/>
  <c r="K255" i="2" s="1"/>
  <c r="I254" i="2"/>
  <c r="I253" i="2"/>
  <c r="J253" i="2" s="1"/>
  <c r="K253" i="2" s="1"/>
  <c r="I252" i="2"/>
  <c r="I251" i="2"/>
  <c r="J251" i="2" s="1"/>
  <c r="K251" i="2" s="1"/>
  <c r="I250" i="2"/>
  <c r="J250" i="2" s="1"/>
  <c r="K250" i="2" s="1"/>
  <c r="I249" i="2"/>
  <c r="J249" i="2" s="1"/>
  <c r="K249" i="2" s="1"/>
  <c r="I248" i="2"/>
  <c r="J248" i="2" s="1"/>
  <c r="K248" i="2" s="1"/>
  <c r="I247" i="2"/>
  <c r="J247" i="2" s="1"/>
  <c r="K247" i="2" s="1"/>
  <c r="I246" i="2"/>
  <c r="J246" i="2" s="1"/>
  <c r="K246" i="2" s="1"/>
  <c r="I245" i="2"/>
  <c r="J245" i="2" s="1"/>
  <c r="K245" i="2" s="1"/>
  <c r="I244" i="2"/>
  <c r="J244" i="2" s="1"/>
  <c r="K244" i="2" s="1"/>
  <c r="I243" i="2"/>
  <c r="I242" i="2"/>
  <c r="I241" i="2"/>
  <c r="J241" i="2" s="1"/>
  <c r="K241" i="2" s="1"/>
  <c r="I240" i="2"/>
  <c r="J240" i="2" s="1"/>
  <c r="K240" i="2" s="1"/>
  <c r="J242" i="2"/>
  <c r="K242" i="2" s="1"/>
  <c r="J243" i="2"/>
  <c r="K243" i="2" s="1"/>
  <c r="J252" i="2"/>
  <c r="K252" i="2" s="1"/>
  <c r="J254" i="2"/>
  <c r="K254" i="2" s="1"/>
  <c r="J259" i="2"/>
  <c r="K259" i="2" s="1"/>
  <c r="J260" i="2"/>
  <c r="K260" i="2" s="1"/>
  <c r="J261" i="2"/>
  <c r="K261" i="2" s="1"/>
  <c r="J266" i="2"/>
  <c r="K266" i="2" s="1"/>
  <c r="J268" i="2"/>
  <c r="K268" i="2" s="1"/>
  <c r="J269" i="2"/>
  <c r="K269" i="2" s="1"/>
  <c r="J273" i="2"/>
  <c r="K273" i="2" s="1"/>
  <c r="J274" i="2"/>
  <c r="K274" i="2" s="1"/>
  <c r="J280" i="2"/>
  <c r="K280" i="2" s="1"/>
  <c r="J282" i="2"/>
  <c r="K282" i="2" s="1"/>
  <c r="I239" i="2"/>
  <c r="J239" i="2" s="1"/>
  <c r="K239" i="2" s="1"/>
  <c r="G282" i="2"/>
  <c r="G276" i="2"/>
  <c r="G273" i="2"/>
  <c r="G270" i="2" l="1"/>
  <c r="G266" i="2"/>
  <c r="G265" i="2"/>
  <c r="M37" i="6"/>
  <c r="P27" i="6"/>
  <c r="R27" i="6" s="1"/>
  <c r="P28" i="6"/>
  <c r="R28" i="6" s="1"/>
  <c r="P26" i="6"/>
  <c r="R26" i="6" s="1"/>
  <c r="F27" i="7"/>
  <c r="J37" i="7"/>
  <c r="G261" i="2"/>
  <c r="G257" i="2"/>
  <c r="P132" i="2"/>
  <c r="O137" i="2"/>
  <c r="O136" i="2"/>
  <c r="O135" i="2"/>
  <c r="O134" i="2"/>
  <c r="O133" i="2"/>
  <c r="O132" i="2"/>
  <c r="G254" i="2"/>
  <c r="G252" i="2"/>
  <c r="G250" i="2"/>
  <c r="G248" i="2"/>
  <c r="G247" i="2"/>
  <c r="G245" i="2"/>
  <c r="G239" i="2"/>
  <c r="I238" i="2"/>
  <c r="J238" i="2" s="1"/>
  <c r="K238" i="2" s="1"/>
  <c r="H238" i="2"/>
  <c r="G238" i="2"/>
  <c r="I81" i="2"/>
  <c r="I237" i="2"/>
  <c r="I236" i="2"/>
  <c r="G237" i="2"/>
  <c r="G236" i="2"/>
  <c r="I235" i="2"/>
  <c r="G235" i="2"/>
  <c r="J233" i="2"/>
  <c r="K233" i="2" s="1"/>
  <c r="J234" i="2"/>
  <c r="K234" i="2" s="1"/>
  <c r="I234" i="2"/>
  <c r="H234" i="2"/>
  <c r="I232" i="2"/>
  <c r="J232" i="2" s="1"/>
  <c r="K232" i="2" s="1"/>
  <c r="I231" i="2"/>
  <c r="J231" i="2" s="1"/>
  <c r="K231" i="2" s="1"/>
  <c r="N29" i="6"/>
  <c r="N30" i="6"/>
  <c r="I230" i="2"/>
  <c r="J230" i="2" s="1"/>
  <c r="K230" i="2" s="1"/>
  <c r="I229" i="2"/>
  <c r="J229" i="2" s="1"/>
  <c r="K229" i="2" s="1"/>
  <c r="I228" i="2"/>
  <c r="G228" i="2"/>
  <c r="N3" i="2" s="1"/>
  <c r="I227" i="2"/>
  <c r="G227" i="2"/>
  <c r="I226" i="2"/>
  <c r="J226" i="2" s="1"/>
  <c r="K226" i="2" s="1"/>
  <c r="I225" i="2"/>
  <c r="J225" i="2" s="1"/>
  <c r="K225" i="2" s="1"/>
  <c r="I224" i="2"/>
  <c r="J224" i="2" s="1"/>
  <c r="K224" i="2" s="1"/>
  <c r="I223" i="2"/>
  <c r="J223" i="2" s="1"/>
  <c r="K223" i="2" s="1"/>
  <c r="I4" i="14"/>
  <c r="L10" i="9"/>
  <c r="L11" i="9"/>
  <c r="L12" i="9"/>
  <c r="L15" i="9"/>
  <c r="L16" i="9"/>
  <c r="L9" i="9"/>
  <c r="K10" i="9"/>
  <c r="K11" i="9"/>
  <c r="K12" i="9"/>
  <c r="K13" i="9"/>
  <c r="K14" i="9"/>
  <c r="K15" i="9"/>
  <c r="K16" i="9"/>
  <c r="K17" i="9"/>
  <c r="K18" i="9"/>
  <c r="K9" i="9"/>
  <c r="J10" i="9"/>
  <c r="J11" i="9"/>
  <c r="J12" i="9"/>
  <c r="J13" i="9"/>
  <c r="J14" i="9"/>
  <c r="J15" i="9"/>
  <c r="J16" i="9"/>
  <c r="J18" i="9"/>
  <c r="J9" i="9"/>
  <c r="G21" i="9"/>
  <c r="I10" i="9"/>
  <c r="I11" i="9"/>
  <c r="I12" i="9"/>
  <c r="I15" i="9"/>
  <c r="I16" i="9"/>
  <c r="I9" i="9"/>
  <c r="F10" i="9"/>
  <c r="F11" i="9"/>
  <c r="F12" i="9"/>
  <c r="F13" i="9"/>
  <c r="F14" i="9"/>
  <c r="F15" i="9"/>
  <c r="F16" i="9"/>
  <c r="F17" i="9"/>
  <c r="I17" i="9" s="1"/>
  <c r="F18" i="9"/>
  <c r="F9" i="9"/>
  <c r="E10" i="9"/>
  <c r="E11" i="9"/>
  <c r="E12" i="9"/>
  <c r="E13" i="9"/>
  <c r="E14" i="9"/>
  <c r="E15" i="9"/>
  <c r="E16" i="9"/>
  <c r="E17" i="9"/>
  <c r="E18" i="9"/>
  <c r="E9" i="9"/>
  <c r="H222" i="2"/>
  <c r="I222" i="2" s="1"/>
  <c r="J222" i="2" s="1"/>
  <c r="K222" i="2" s="1"/>
  <c r="I221" i="2"/>
  <c r="J221" i="2" s="1"/>
  <c r="K221" i="2" s="1"/>
  <c r="I220" i="2"/>
  <c r="J220" i="2" s="1"/>
  <c r="K220" i="2" s="1"/>
  <c r="I219" i="2"/>
  <c r="J219" i="2" s="1"/>
  <c r="K219" i="2" s="1"/>
  <c r="I218" i="2"/>
  <c r="G218" i="2"/>
  <c r="I217" i="2"/>
  <c r="G217" i="2"/>
  <c r="N28" i="6"/>
  <c r="N21" i="6"/>
  <c r="E12" i="6"/>
  <c r="E13" i="6"/>
  <c r="I214" i="2"/>
  <c r="I215" i="2"/>
  <c r="G215" i="2"/>
  <c r="I216" i="2"/>
  <c r="J216" i="2" s="1"/>
  <c r="K216" i="2" s="1"/>
  <c r="G216" i="2"/>
  <c r="G214" i="2"/>
  <c r="I213" i="2"/>
  <c r="J213" i="2" s="1"/>
  <c r="K213" i="2" s="1"/>
  <c r="I211" i="2"/>
  <c r="J211" i="2" s="1"/>
  <c r="K211" i="2" s="1"/>
  <c r="I210" i="2"/>
  <c r="I209" i="2"/>
  <c r="I208" i="2"/>
  <c r="I207" i="2"/>
  <c r="J207" i="2" s="1"/>
  <c r="K207" i="2" s="1"/>
  <c r="I206" i="2"/>
  <c r="I205" i="2"/>
  <c r="I204" i="2"/>
  <c r="I203" i="2"/>
  <c r="J203" i="2" s="1"/>
  <c r="K203" i="2" s="1"/>
  <c r="I202" i="2"/>
  <c r="J202" i="2" s="1"/>
  <c r="K202" i="2" s="1"/>
  <c r="I201" i="2"/>
  <c r="J201" i="2" s="1"/>
  <c r="K201" i="2" s="1"/>
  <c r="I200" i="2"/>
  <c r="J200" i="2" s="1"/>
  <c r="K200" i="2" s="1"/>
  <c r="I199" i="2"/>
  <c r="J199" i="2" s="1"/>
  <c r="K199" i="2" s="1"/>
  <c r="I198" i="2"/>
  <c r="J198" i="2" s="1"/>
  <c r="K198" i="2" s="1"/>
  <c r="I197" i="2"/>
  <c r="J197" i="2" s="1"/>
  <c r="K197" i="2" s="1"/>
  <c r="I196" i="2"/>
  <c r="J196" i="2" s="1"/>
  <c r="K196" i="2" s="1"/>
  <c r="I195" i="2"/>
  <c r="J195" i="2" s="1"/>
  <c r="K195" i="2" s="1"/>
  <c r="I194" i="2"/>
  <c r="J194" i="2" s="1"/>
  <c r="K194" i="2" s="1"/>
  <c r="I193" i="2"/>
  <c r="J209" i="2"/>
  <c r="K209" i="2" s="1"/>
  <c r="I212" i="2"/>
  <c r="G212" i="2"/>
  <c r="J212" i="2" s="1"/>
  <c r="K212" i="2" s="1"/>
  <c r="G210" i="2"/>
  <c r="G208" i="2"/>
  <c r="J208" i="2" s="1"/>
  <c r="K208" i="2" s="1"/>
  <c r="G206" i="2"/>
  <c r="J206" i="2" s="1"/>
  <c r="K206" i="2" s="1"/>
  <c r="G205" i="2"/>
  <c r="G204" i="2"/>
  <c r="G193" i="2"/>
  <c r="J193" i="2" s="1"/>
  <c r="K193" i="2" s="1"/>
  <c r="I192" i="2"/>
  <c r="J192" i="2" s="1"/>
  <c r="K192" i="2" s="1"/>
  <c r="I191" i="2"/>
  <c r="J191" i="2" s="1"/>
  <c r="K191" i="2" s="1"/>
  <c r="I190" i="2"/>
  <c r="J190" i="2" s="1"/>
  <c r="K190" i="2" s="1"/>
  <c r="I189" i="2"/>
  <c r="J189" i="2" s="1"/>
  <c r="K189" i="2" s="1"/>
  <c r="I188" i="2"/>
  <c r="I186" i="2"/>
  <c r="J186" i="2" s="1"/>
  <c r="K186" i="2" s="1"/>
  <c r="I187" i="2"/>
  <c r="J187" i="2" s="1"/>
  <c r="K187" i="2" s="1"/>
  <c r="G188" i="2"/>
  <c r="I185" i="2"/>
  <c r="J185" i="2" s="1"/>
  <c r="K185" i="2" s="1"/>
  <c r="J184" i="2"/>
  <c r="K184" i="2" s="1"/>
  <c r="I183" i="2"/>
  <c r="I182" i="2"/>
  <c r="J182" i="2" s="1"/>
  <c r="K182" i="2" s="1"/>
  <c r="I181" i="2"/>
  <c r="J181" i="2" s="1"/>
  <c r="K181" i="2" s="1"/>
  <c r="G183" i="2"/>
  <c r="I180" i="2"/>
  <c r="J180" i="2" s="1"/>
  <c r="K180" i="2" s="1"/>
  <c r="I179" i="2"/>
  <c r="J179" i="2" s="1"/>
  <c r="K179" i="2" s="1"/>
  <c r="I178" i="2"/>
  <c r="J178" i="2" s="1"/>
  <c r="K178" i="2" s="1"/>
  <c r="I177" i="2"/>
  <c r="J177" i="2" s="1"/>
  <c r="I176" i="2"/>
  <c r="J176" i="2" s="1"/>
  <c r="K176" i="2" s="1"/>
  <c r="I175" i="2"/>
  <c r="J175" i="2" s="1"/>
  <c r="K175" i="2" s="1"/>
  <c r="F27" i="3"/>
  <c r="E27" i="3"/>
  <c r="H19" i="3"/>
  <c r="J19" i="3"/>
  <c r="I174" i="2"/>
  <c r="J174" i="2" s="1"/>
  <c r="K174" i="2" s="1"/>
  <c r="I173" i="2"/>
  <c r="J173" i="2" s="1"/>
  <c r="K173" i="2" s="1"/>
  <c r="I172" i="2"/>
  <c r="J172" i="2" s="1"/>
  <c r="K172" i="2" s="1"/>
  <c r="I171" i="2"/>
  <c r="J171" i="2" s="1"/>
  <c r="K171" i="2" s="1"/>
  <c r="I170" i="2"/>
  <c r="G170" i="2"/>
  <c r="I169" i="2"/>
  <c r="J169" i="2" s="1"/>
  <c r="K169" i="2" s="1"/>
  <c r="I168" i="2"/>
  <c r="J168" i="2" s="1"/>
  <c r="K168" i="2" s="1"/>
  <c r="I167" i="2"/>
  <c r="G167" i="2"/>
  <c r="I166" i="2"/>
  <c r="J166" i="2" s="1"/>
  <c r="K166" i="2" s="1"/>
  <c r="C159" i="2"/>
  <c r="B159" i="2" s="1"/>
  <c r="B14" i="2"/>
  <c r="J210" i="2" l="1"/>
  <c r="K210" i="2" s="1"/>
  <c r="J188" i="2"/>
  <c r="K188" i="2" s="1"/>
  <c r="J217" i="2"/>
  <c r="K217" i="2" s="1"/>
  <c r="J183" i="2"/>
  <c r="K183" i="2" s="1"/>
  <c r="J236" i="2"/>
  <c r="J218" i="2"/>
  <c r="K218" i="2" s="1"/>
  <c r="J237" i="2"/>
  <c r="K237" i="2" s="1"/>
  <c r="J204" i="2"/>
  <c r="K204" i="2" s="1"/>
  <c r="J167" i="2"/>
  <c r="K167" i="2" s="1"/>
  <c r="J205" i="2"/>
  <c r="K205" i="2" s="1"/>
  <c r="J228" i="2"/>
  <c r="K228" i="2" s="1"/>
  <c r="J235" i="2"/>
  <c r="K235" i="2" s="1"/>
  <c r="J227" i="2"/>
  <c r="K227" i="2" s="1"/>
  <c r="K236" i="2"/>
  <c r="K177" i="2"/>
  <c r="J215" i="2"/>
  <c r="K215" i="2" s="1"/>
  <c r="J214" i="2"/>
  <c r="K214" i="2" s="1"/>
  <c r="I21" i="9"/>
  <c r="J17" i="9"/>
  <c r="J170" i="2"/>
  <c r="K170" i="2" s="1"/>
  <c r="I165" i="2"/>
  <c r="J165" i="2" s="1"/>
  <c r="K165" i="2" s="1"/>
  <c r="I164" i="2"/>
  <c r="J164" i="2" s="1"/>
  <c r="K164" i="2" s="1"/>
  <c r="I163" i="2"/>
  <c r="J163" i="2" s="1"/>
  <c r="K163" i="2" s="1"/>
  <c r="H23" i="9" l="1"/>
  <c r="L17" i="9"/>
  <c r="I26" i="3"/>
  <c r="I162" i="2" l="1"/>
  <c r="J162" i="2" s="1"/>
  <c r="K162" i="2" s="1"/>
  <c r="I161" i="2"/>
  <c r="J161" i="2" s="1"/>
  <c r="K161" i="2" s="1"/>
  <c r="I160" i="2" l="1"/>
  <c r="J160" i="2" l="1"/>
  <c r="K160" i="2" s="1"/>
  <c r="H34" i="3"/>
  <c r="H33" i="3"/>
  <c r="I31" i="3"/>
  <c r="I30" i="3"/>
  <c r="I20" i="3"/>
  <c r="I27" i="3" s="1"/>
  <c r="I159" i="2"/>
  <c r="J159" i="2" s="1"/>
  <c r="K159" i="2" s="1"/>
  <c r="I158" i="2"/>
  <c r="I157" i="2"/>
  <c r="I155" i="2"/>
  <c r="I156" i="2"/>
  <c r="G158" i="2"/>
  <c r="G157" i="2"/>
  <c r="L157" i="2" s="1"/>
  <c r="G156" i="2"/>
  <c r="G155" i="2"/>
  <c r="J158" i="2" l="1"/>
  <c r="K158" i="2" s="1"/>
  <c r="L159" i="2"/>
  <c r="L156" i="2"/>
  <c r="J155" i="2"/>
  <c r="K155" i="2" s="1"/>
  <c r="J157" i="2"/>
  <c r="K157" i="2" s="1"/>
  <c r="J156" i="2"/>
  <c r="K156" i="2" s="1"/>
  <c r="L158" i="2"/>
  <c r="G150" i="2"/>
  <c r="I154" i="2"/>
  <c r="J154" i="2" s="1"/>
  <c r="K154" i="2" s="1"/>
  <c r="I153" i="2"/>
  <c r="J153" i="2" s="1"/>
  <c r="K153" i="2" s="1"/>
  <c r="I152" i="2" l="1"/>
  <c r="J152" i="2" s="1"/>
  <c r="K152" i="2" s="1"/>
  <c r="I151" i="2" l="1"/>
  <c r="J151" i="2" s="1"/>
  <c r="I150" i="2"/>
  <c r="J150" i="2" s="1"/>
  <c r="K150" i="2" s="1"/>
  <c r="I149" i="2"/>
  <c r="J149" i="2" s="1"/>
  <c r="K149" i="2" s="1"/>
  <c r="I148" i="2"/>
  <c r="I147" i="2"/>
  <c r="G148" i="2"/>
  <c r="J148" i="2" s="1"/>
  <c r="K148" i="2" s="1"/>
  <c r="G147" i="2"/>
  <c r="N2" i="2" s="1"/>
  <c r="I146" i="2"/>
  <c r="J146" i="2" s="1"/>
  <c r="K146" i="2" l="1"/>
  <c r="J147" i="2"/>
  <c r="K147" i="2" s="1"/>
  <c r="K151" i="2"/>
  <c r="I145" i="2"/>
  <c r="I144" i="2"/>
  <c r="G143" i="2"/>
  <c r="J143" i="2" s="1"/>
  <c r="K143" i="2" s="1"/>
  <c r="G145" i="2"/>
  <c r="J145" i="2" s="1"/>
  <c r="K145" i="2" s="1"/>
  <c r="G144" i="2"/>
  <c r="I143" i="2"/>
  <c r="I142" i="2"/>
  <c r="G142" i="2"/>
  <c r="I141" i="2"/>
  <c r="I140" i="2"/>
  <c r="G141" i="2"/>
  <c r="J141" i="2" s="1"/>
  <c r="K141" i="2" s="1"/>
  <c r="G140" i="2"/>
  <c r="J140" i="2" l="1"/>
  <c r="K140" i="2" s="1"/>
  <c r="J144" i="2"/>
  <c r="K144" i="2" s="1"/>
  <c r="J142" i="2"/>
  <c r="K142" i="2" s="1"/>
  <c r="I139" i="2"/>
  <c r="N19" i="6" l="1"/>
  <c r="I137" i="2"/>
  <c r="I138" i="2"/>
  <c r="J20" i="3"/>
  <c r="K20" i="3" s="1"/>
  <c r="K19" i="3"/>
  <c r="I22" i="3"/>
  <c r="G20" i="3"/>
  <c r="H20" i="3" s="1"/>
  <c r="I23" i="3" s="1"/>
  <c r="I136" i="2" l="1"/>
  <c r="I131" i="2"/>
  <c r="I132" i="2"/>
  <c r="I12" i="2"/>
  <c r="I135" i="2" l="1"/>
  <c r="G135" i="2"/>
  <c r="G134" i="2"/>
  <c r="G133" i="2"/>
  <c r="G132" i="2"/>
  <c r="G131" i="2"/>
  <c r="I134" i="2"/>
  <c r="J136" i="2"/>
  <c r="K136" i="2" s="1"/>
  <c r="J137" i="2"/>
  <c r="K137" i="2" s="1"/>
  <c r="J138" i="2"/>
  <c r="K138" i="2" s="1"/>
  <c r="J139" i="2"/>
  <c r="K139" i="2" s="1"/>
  <c r="I133" i="2"/>
  <c r="H133" i="2"/>
  <c r="H131" i="2"/>
  <c r="I130" i="2"/>
  <c r="G130" i="2"/>
  <c r="I129" i="2"/>
  <c r="J135" i="2" l="1"/>
  <c r="K135" i="2" s="1"/>
  <c r="I128" i="2" l="1"/>
  <c r="I127" i="2"/>
  <c r="J127" i="2" s="1"/>
  <c r="K127" i="2" s="1"/>
  <c r="J129" i="2"/>
  <c r="J130" i="2"/>
  <c r="K130" i="2" s="1"/>
  <c r="J131" i="2"/>
  <c r="J132" i="2"/>
  <c r="K132" i="2" s="1"/>
  <c r="J133" i="2"/>
  <c r="K133" i="2" s="1"/>
  <c r="J134" i="2"/>
  <c r="K134" i="2" s="1"/>
  <c r="I126" i="2"/>
  <c r="J126" i="2" s="1"/>
  <c r="K126" i="2" s="1"/>
  <c r="I125" i="2"/>
  <c r="I124" i="2"/>
  <c r="I123" i="2"/>
  <c r="I122" i="2"/>
  <c r="I121" i="2"/>
  <c r="G123" i="2"/>
  <c r="G122" i="2"/>
  <c r="G121" i="2"/>
  <c r="K131" i="2" l="1"/>
  <c r="K129" i="2"/>
  <c r="J128" i="2"/>
  <c r="K128" i="2" s="1"/>
  <c r="I120" i="2"/>
  <c r="I60" i="2"/>
  <c r="I119" i="2"/>
  <c r="I118" i="2"/>
  <c r="I117" i="2"/>
  <c r="G106" i="2" l="1"/>
  <c r="I98" i="2"/>
  <c r="I99" i="2"/>
  <c r="J118" i="2" l="1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I116" i="2"/>
  <c r="G116" i="2"/>
  <c r="G115" i="2"/>
  <c r="I115" i="2"/>
  <c r="I114" i="2"/>
  <c r="G114" i="2"/>
  <c r="I113" i="2"/>
  <c r="I112" i="2"/>
  <c r="G113" i="2"/>
  <c r="G112" i="2"/>
  <c r="J116" i="2" l="1"/>
  <c r="N27" i="6"/>
  <c r="N26" i="6"/>
  <c r="N25" i="6"/>
  <c r="N24" i="6"/>
  <c r="N23" i="6"/>
  <c r="N22" i="6"/>
  <c r="N20" i="6"/>
  <c r="N31" i="6" l="1"/>
  <c r="I111" i="2"/>
  <c r="I110" i="2"/>
  <c r="G109" i="2"/>
  <c r="I109" i="2"/>
  <c r="G108" i="2"/>
  <c r="I108" i="2"/>
  <c r="J108" i="2" s="1"/>
  <c r="I107" i="2"/>
  <c r="J107" i="2" s="1"/>
  <c r="K107" i="2" s="1"/>
  <c r="G107" i="2"/>
  <c r="J111" i="2"/>
  <c r="K111" i="2" s="1"/>
  <c r="J112" i="2"/>
  <c r="K112" i="2" s="1"/>
  <c r="J113" i="2"/>
  <c r="K113" i="2" s="1"/>
  <c r="J114" i="2"/>
  <c r="K114" i="2" s="1"/>
  <c r="J115" i="2"/>
  <c r="K115" i="2" s="1"/>
  <c r="K116" i="2"/>
  <c r="J117" i="2"/>
  <c r="K117" i="2" s="1"/>
  <c r="I106" i="2"/>
  <c r="J106" i="2" s="1"/>
  <c r="K106" i="2" s="1"/>
  <c r="I105" i="2"/>
  <c r="J105" i="2" s="1"/>
  <c r="K105" i="2" s="1"/>
  <c r="N1" i="2" l="1"/>
  <c r="K108" i="2"/>
  <c r="J110" i="2"/>
  <c r="K110" i="2" s="1"/>
  <c r="J109" i="2"/>
  <c r="I104" i="2"/>
  <c r="J104" i="2" s="1"/>
  <c r="K104" i="2" s="1"/>
  <c r="I103" i="2"/>
  <c r="I102" i="2"/>
  <c r="J102" i="2" s="1"/>
  <c r="K102" i="2" s="1"/>
  <c r="G103" i="2"/>
  <c r="G102" i="2"/>
  <c r="I101" i="2"/>
  <c r="J101" i="2" s="1"/>
  <c r="K101" i="2" s="1"/>
  <c r="I100" i="2"/>
  <c r="G100" i="2"/>
  <c r="G99" i="2"/>
  <c r="J99" i="2" s="1"/>
  <c r="K99" i="2" s="1"/>
  <c r="I97" i="2"/>
  <c r="I96" i="2"/>
  <c r="G98" i="2"/>
  <c r="J98" i="2" s="1"/>
  <c r="K98" i="2" s="1"/>
  <c r="G97" i="2"/>
  <c r="G96" i="2"/>
  <c r="I95" i="2"/>
  <c r="J95" i="2" s="1"/>
  <c r="K95" i="2" s="1"/>
  <c r="I94" i="2"/>
  <c r="J94" i="2" s="1"/>
  <c r="K94" i="2" s="1"/>
  <c r="J103" i="2" l="1"/>
  <c r="K103" i="2" s="1"/>
  <c r="J97" i="2"/>
  <c r="K97" i="2" s="1"/>
  <c r="J100" i="2"/>
  <c r="K100" i="2" s="1"/>
  <c r="J96" i="2"/>
  <c r="K109" i="2"/>
  <c r="H5" i="10"/>
  <c r="H4" i="10"/>
  <c r="H3" i="10"/>
  <c r="I93" i="2"/>
  <c r="I92" i="2"/>
  <c r="G93" i="2"/>
  <c r="J93" i="2" s="1"/>
  <c r="K93" i="2" s="1"/>
  <c r="G92" i="2"/>
  <c r="K7" i="2" s="1"/>
  <c r="J92" i="2" l="1"/>
  <c r="K92" i="2" s="1"/>
  <c r="K96" i="2"/>
  <c r="I91" i="2"/>
  <c r="J91" i="2" s="1"/>
  <c r="I90" i="2"/>
  <c r="J90" i="2" s="1"/>
  <c r="K90" i="2" s="1"/>
  <c r="K91" i="2" l="1"/>
  <c r="I89" i="2"/>
  <c r="J89" i="2" s="1"/>
  <c r="K89" i="2" s="1"/>
  <c r="I88" i="2"/>
  <c r="J88" i="2" s="1"/>
  <c r="K88" i="2" s="1"/>
  <c r="I51" i="2"/>
  <c r="G68" i="2"/>
  <c r="I87" i="2"/>
  <c r="J87" i="2" l="1"/>
  <c r="I85" i="2"/>
  <c r="G85" i="2"/>
  <c r="I84" i="2"/>
  <c r="G84" i="2"/>
  <c r="J84" i="2" s="1"/>
  <c r="K84" i="2" s="1"/>
  <c r="I83" i="2"/>
  <c r="J83" i="2" s="1"/>
  <c r="K83" i="2" s="1"/>
  <c r="I82" i="2"/>
  <c r="J82" i="2" s="1"/>
  <c r="K82" i="2" s="1"/>
  <c r="G81" i="2"/>
  <c r="I80" i="2"/>
  <c r="J80" i="2" s="1"/>
  <c r="K80" i="2" s="1"/>
  <c r="J81" i="2" l="1"/>
  <c r="J85" i="2"/>
  <c r="K85" i="2" s="1"/>
  <c r="K87" i="2"/>
  <c r="I79" i="2"/>
  <c r="J79" i="2" s="1"/>
  <c r="K79" i="2" s="1"/>
  <c r="I78" i="2"/>
  <c r="J78" i="2" s="1"/>
  <c r="K78" i="2" s="1"/>
  <c r="I77" i="2"/>
  <c r="J77" i="2" s="1"/>
  <c r="K77" i="2" s="1"/>
  <c r="I76" i="2"/>
  <c r="J76" i="2" s="1"/>
  <c r="K76" i="2" s="1"/>
  <c r="K81" i="2" l="1"/>
  <c r="I75" i="2"/>
  <c r="J75" i="2" s="1"/>
  <c r="K75" i="2" s="1"/>
  <c r="I14" i="2"/>
  <c r="I74" i="2" l="1"/>
  <c r="J74" i="2" s="1"/>
  <c r="K74" i="2" s="1"/>
  <c r="I73" i="2"/>
  <c r="J73" i="2" s="1"/>
  <c r="K73" i="2" s="1"/>
  <c r="I72" i="2"/>
  <c r="J72" i="2" s="1"/>
  <c r="K72" i="2" s="1"/>
  <c r="I71" i="2"/>
  <c r="J71" i="2" s="1"/>
  <c r="K71" i="2" s="1"/>
  <c r="I70" i="2" l="1"/>
  <c r="I69" i="2"/>
  <c r="I67" i="2"/>
  <c r="I68" i="2"/>
  <c r="J68" i="2" s="1"/>
  <c r="K68" i="2" s="1"/>
  <c r="G70" i="2"/>
  <c r="J70" i="2" s="1"/>
  <c r="G69" i="2"/>
  <c r="G67" i="2"/>
  <c r="I66" i="2"/>
  <c r="J66" i="2" s="1"/>
  <c r="I65" i="2"/>
  <c r="J65" i="2" s="1"/>
  <c r="K65" i="2" s="1"/>
  <c r="J69" i="2" l="1"/>
  <c r="K69" i="2" s="1"/>
  <c r="J67" i="2"/>
  <c r="K67" i="2" s="1"/>
  <c r="K6" i="2"/>
  <c r="K70" i="2"/>
  <c r="K66" i="2"/>
  <c r="I64" i="2"/>
  <c r="J64" i="2" s="1"/>
  <c r="I63" i="2"/>
  <c r="J63" i="2" s="1"/>
  <c r="K63" i="2" l="1"/>
  <c r="K64" i="2"/>
  <c r="E2" i="9"/>
  <c r="D2" i="9"/>
  <c r="F2" i="9" s="1"/>
  <c r="G2" i="9" s="1"/>
  <c r="C6" i="9"/>
  <c r="C3" i="9"/>
  <c r="K4" i="2" l="1"/>
  <c r="K2" i="2"/>
  <c r="K3" i="2"/>
  <c r="F2" i="8"/>
  <c r="I4" i="2" s="1"/>
  <c r="O28" i="7"/>
  <c r="O29" i="7"/>
  <c r="O30" i="7"/>
  <c r="O31" i="7"/>
  <c r="O32" i="7"/>
  <c r="O27" i="7"/>
  <c r="J28" i="7"/>
  <c r="J29" i="7"/>
  <c r="J30" i="7"/>
  <c r="J31" i="7"/>
  <c r="J32" i="7"/>
  <c r="J27" i="7"/>
  <c r="M27" i="7"/>
  <c r="M28" i="7"/>
  <c r="M29" i="7"/>
  <c r="M30" i="7"/>
  <c r="M31" i="7"/>
  <c r="M32" i="7"/>
  <c r="G2" i="6"/>
  <c r="E28" i="7"/>
  <c r="F28" i="7" s="1"/>
  <c r="G28" i="7" s="1"/>
  <c r="E29" i="7"/>
  <c r="F29" i="7" s="1"/>
  <c r="G29" i="7" s="1"/>
  <c r="E30" i="7"/>
  <c r="F30" i="7" s="1"/>
  <c r="G30" i="7" s="1"/>
  <c r="E31" i="7"/>
  <c r="F31" i="7" s="1"/>
  <c r="G31" i="7" s="1"/>
  <c r="E32" i="7"/>
  <c r="F32" i="7" s="1"/>
  <c r="G32" i="7" s="1"/>
  <c r="E27" i="7"/>
  <c r="G27" i="7" s="1"/>
  <c r="I43" i="2"/>
  <c r="I61" i="2"/>
  <c r="J61" i="2" s="1"/>
  <c r="K61" i="2" s="1"/>
  <c r="I62" i="2"/>
  <c r="J62" i="2" s="1"/>
  <c r="K62" i="2" s="1"/>
  <c r="J60" i="2"/>
  <c r="K60" i="2" s="1"/>
  <c r="F34" i="7" l="1"/>
  <c r="F35" i="7" s="1"/>
  <c r="F36" i="7" s="1"/>
  <c r="G37" i="7" s="1"/>
  <c r="M37" i="7"/>
  <c r="G13" i="6"/>
  <c r="G12" i="6"/>
  <c r="G36" i="7" l="1"/>
  <c r="H31" i="7" s="1"/>
  <c r="I31" i="7" s="1"/>
  <c r="H28" i="7" l="1"/>
  <c r="I28" i="7" s="1"/>
  <c r="H32" i="7"/>
  <c r="I32" i="7" s="1"/>
  <c r="H27" i="7"/>
  <c r="I27" i="7" s="1"/>
  <c r="H29" i="7"/>
  <c r="I29" i="7" s="1"/>
  <c r="H30" i="7"/>
  <c r="I30" i="7" s="1"/>
  <c r="I59" i="2"/>
  <c r="G59" i="2"/>
  <c r="G58" i="2"/>
  <c r="I58" i="2"/>
  <c r="J58" i="2" l="1"/>
  <c r="K58" i="2" s="1"/>
  <c r="J59" i="2"/>
  <c r="K59" i="2" s="1"/>
  <c r="I55" i="2"/>
  <c r="I54" i="2"/>
  <c r="I42" i="2"/>
  <c r="I49" i="2"/>
  <c r="I57" i="2"/>
  <c r="G57" i="2"/>
  <c r="I47" i="2"/>
  <c r="I48" i="2"/>
  <c r="I50" i="2"/>
  <c r="I52" i="2"/>
  <c r="I56" i="2"/>
  <c r="G56" i="2"/>
  <c r="G55" i="2"/>
  <c r="J55" i="2" s="1"/>
  <c r="K55" i="2" s="1"/>
  <c r="G54" i="2"/>
  <c r="J54" i="2" s="1"/>
  <c r="K54" i="2" s="1"/>
  <c r="I53" i="2"/>
  <c r="J53" i="2" s="1"/>
  <c r="K53" i="2" s="1"/>
  <c r="J57" i="2" l="1"/>
  <c r="K57" i="2" s="1"/>
  <c r="J56" i="2"/>
  <c r="K5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I46" i="2"/>
  <c r="J46" i="2" s="1"/>
  <c r="K46" i="2" s="1"/>
  <c r="I45" i="2"/>
  <c r="J45" i="2" s="1"/>
  <c r="K45" i="2" s="1"/>
  <c r="I44" i="2" l="1"/>
  <c r="J44" i="2" s="1"/>
  <c r="K44" i="2" s="1"/>
  <c r="J43" i="2"/>
  <c r="K43" i="2" s="1"/>
  <c r="I41" i="2"/>
  <c r="I40" i="2"/>
  <c r="G42" i="2"/>
  <c r="J42" i="2" s="1"/>
  <c r="K42" i="2" s="1"/>
  <c r="G41" i="2"/>
  <c r="G40" i="2"/>
  <c r="J40" i="2" l="1"/>
  <c r="K40" i="2" s="1"/>
  <c r="J41" i="2"/>
  <c r="K41" i="2" s="1"/>
  <c r="K5" i="2"/>
  <c r="O3" i="6"/>
  <c r="O5" i="6"/>
  <c r="O6" i="6"/>
  <c r="O2" i="6"/>
  <c r="N3" i="6"/>
  <c r="N5" i="6"/>
  <c r="N6" i="6"/>
  <c r="N2" i="6"/>
  <c r="K13" i="6"/>
  <c r="K12" i="6"/>
  <c r="K3" i="6"/>
  <c r="K5" i="6"/>
  <c r="K6" i="6"/>
  <c r="K7" i="6"/>
  <c r="K8" i="6"/>
  <c r="K9" i="6"/>
  <c r="K2" i="6"/>
  <c r="I39" i="2"/>
  <c r="J39" i="2" s="1"/>
  <c r="K39" i="2" s="1"/>
  <c r="I38" i="2"/>
  <c r="J38" i="2" s="1"/>
  <c r="K38" i="2" s="1"/>
  <c r="I36" i="2"/>
  <c r="J36" i="2" l="1"/>
  <c r="K15" i="6"/>
  <c r="J5" i="6"/>
  <c r="J6" i="6"/>
  <c r="J7" i="6" l="1"/>
  <c r="K36" i="2"/>
  <c r="E10" i="6"/>
  <c r="E11" i="6" l="1"/>
  <c r="H3" i="6"/>
  <c r="H5" i="6"/>
  <c r="H6" i="6"/>
  <c r="H7" i="6"/>
  <c r="H8" i="6"/>
  <c r="H9" i="6"/>
  <c r="H2" i="6"/>
  <c r="G3" i="6"/>
  <c r="G5" i="6"/>
  <c r="G6" i="6"/>
  <c r="G7" i="6"/>
  <c r="G8" i="6"/>
  <c r="G9" i="6"/>
  <c r="E2" i="6"/>
  <c r="E3" i="6"/>
  <c r="E5" i="6"/>
  <c r="E6" i="6"/>
  <c r="E7" i="6"/>
  <c r="E8" i="6"/>
  <c r="E15" i="6" s="1"/>
  <c r="E9" i="6"/>
  <c r="I29" i="2"/>
  <c r="J29" i="2" s="1"/>
  <c r="K29" i="2" s="1"/>
  <c r="I33" i="2"/>
  <c r="J33" i="2" s="1"/>
  <c r="K33" i="2" s="1"/>
  <c r="F26" i="6" l="1"/>
  <c r="I26" i="2"/>
  <c r="J26" i="2" s="1"/>
  <c r="K26" i="2" s="1"/>
  <c r="G15" i="6" l="1"/>
  <c r="G6" i="2"/>
  <c r="P3" i="5"/>
  <c r="P4" i="5"/>
  <c r="P5" i="5"/>
  <c r="P6" i="5"/>
  <c r="P2" i="5"/>
  <c r="M3" i="5"/>
  <c r="M4" i="5"/>
  <c r="M5" i="5"/>
  <c r="M6" i="5"/>
  <c r="M7" i="5"/>
  <c r="N7" i="5" s="1"/>
  <c r="P7" i="5" s="1"/>
  <c r="M8" i="5"/>
  <c r="N8" i="5" s="1"/>
  <c r="P8" i="5" s="1"/>
  <c r="M2" i="5"/>
  <c r="I17" i="5"/>
  <c r="K3" i="5"/>
  <c r="K4" i="5"/>
  <c r="K5" i="5"/>
  <c r="K6" i="5"/>
  <c r="K7" i="5"/>
  <c r="K8" i="5"/>
  <c r="K2" i="5"/>
  <c r="F9" i="5"/>
  <c r="C9" i="5"/>
  <c r="E2" i="5"/>
  <c r="G2" i="5" s="1"/>
  <c r="I2" i="5" s="1"/>
  <c r="E8" i="5"/>
  <c r="G8" i="5" s="1"/>
  <c r="D7" i="5"/>
  <c r="D9" i="5" s="1"/>
  <c r="E3" i="5"/>
  <c r="G3" i="5" s="1"/>
  <c r="E4" i="5"/>
  <c r="G4" i="5" s="1"/>
  <c r="I4" i="5" s="1"/>
  <c r="E5" i="5"/>
  <c r="G5" i="5" s="1"/>
  <c r="E6" i="5"/>
  <c r="G6" i="5" s="1"/>
  <c r="H5" i="5" l="1"/>
  <c r="I5" i="5"/>
  <c r="H6" i="5"/>
  <c r="I6" i="5"/>
  <c r="I8" i="5"/>
  <c r="H8" i="5"/>
  <c r="I3" i="5"/>
  <c r="H3" i="5"/>
  <c r="H2" i="5"/>
  <c r="E7" i="5"/>
  <c r="G7" i="5" s="1"/>
  <c r="H4" i="5"/>
  <c r="K9" i="5"/>
  <c r="P9" i="5"/>
  <c r="I24" i="2"/>
  <c r="J24" i="2" s="1"/>
  <c r="K24" i="2" s="1"/>
  <c r="H7" i="5" l="1"/>
  <c r="I7" i="5"/>
  <c r="E9" i="5"/>
  <c r="P11" i="5" s="1"/>
  <c r="I21" i="2"/>
  <c r="J21" i="2"/>
  <c r="K21" i="2" s="1"/>
  <c r="I19" i="2" l="1"/>
  <c r="J19" i="2" s="1"/>
  <c r="K19" i="2" s="1"/>
  <c r="I17" i="2" l="1"/>
  <c r="J17" i="2" s="1"/>
  <c r="K17" i="2" s="1"/>
  <c r="I13" i="2" l="1"/>
  <c r="J13" i="2" s="1"/>
  <c r="K13" i="2" s="1"/>
  <c r="J12" i="2"/>
  <c r="K12" i="2" s="1"/>
  <c r="F12" i="3" l="1"/>
  <c r="I7" i="3" s="1"/>
  <c r="E2" i="3" l="1"/>
  <c r="G10" i="2"/>
  <c r="I9" i="2"/>
  <c r="G3" i="2" l="1"/>
  <c r="G7" i="2" s="1"/>
  <c r="I6" i="2" s="1"/>
  <c r="K1" i="2"/>
  <c r="I5" i="1"/>
  <c r="H15" i="1"/>
  <c r="H16" i="1" s="1"/>
  <c r="H2" i="2" l="1"/>
  <c r="I23" i="2"/>
  <c r="J23" i="2" s="1"/>
  <c r="K23" i="2" s="1"/>
  <c r="I22" i="2"/>
  <c r="J22" i="2" s="1"/>
  <c r="K22" i="2" s="1"/>
  <c r="I20" i="2"/>
  <c r="J20" i="2" s="1"/>
  <c r="K20" i="2" s="1"/>
  <c r="I18" i="2"/>
  <c r="J18" i="2" s="1"/>
  <c r="K18" i="2" s="1"/>
  <c r="I15" i="2"/>
  <c r="I16" i="2"/>
  <c r="J16" i="2" s="1"/>
  <c r="K16" i="2" s="1"/>
  <c r="I11" i="2"/>
  <c r="I10" i="2"/>
  <c r="I37" i="2"/>
  <c r="J37" i="2" s="1"/>
  <c r="I32" i="2"/>
  <c r="J32" i="2" s="1"/>
  <c r="K32" i="2" s="1"/>
  <c r="I30" i="2"/>
  <c r="J30" i="2" s="1"/>
  <c r="K30" i="2" s="1"/>
  <c r="I27" i="2"/>
  <c r="J27" i="2" s="1"/>
  <c r="K27" i="2" s="1"/>
  <c r="I35" i="2"/>
  <c r="I34" i="2"/>
  <c r="J34" i="2" s="1"/>
  <c r="K34" i="2" s="1"/>
  <c r="I25" i="2"/>
  <c r="J14" i="2"/>
  <c r="I31" i="2"/>
  <c r="J31" i="2" s="1"/>
  <c r="K31" i="2" s="1"/>
  <c r="I28" i="2"/>
  <c r="J9" i="2"/>
  <c r="R18" i="1"/>
  <c r="P18" i="1"/>
  <c r="P19" i="1"/>
  <c r="M15" i="1"/>
  <c r="P15" i="1" s="1"/>
  <c r="M16" i="1"/>
  <c r="P16" i="1" s="1"/>
  <c r="M17" i="1"/>
  <c r="P17" i="1" s="1"/>
  <c r="M18" i="1"/>
  <c r="M19" i="1"/>
  <c r="R19" i="1" s="1"/>
  <c r="M14" i="1"/>
  <c r="R14" i="1" s="1"/>
  <c r="J15" i="1"/>
  <c r="G5" i="2" l="1"/>
  <c r="I5" i="2" s="1"/>
  <c r="J11" i="2"/>
  <c r="K11" i="2" s="1"/>
  <c r="J15" i="2"/>
  <c r="J25" i="2"/>
  <c r="K25" i="2" s="1"/>
  <c r="J35" i="2"/>
  <c r="K35" i="2" s="1"/>
  <c r="K14" i="2"/>
  <c r="K37" i="2"/>
  <c r="J28" i="2"/>
  <c r="J10" i="2"/>
  <c r="G4" i="2" s="1"/>
  <c r="K9" i="2"/>
  <c r="P14" i="1"/>
  <c r="R17" i="1"/>
  <c r="R15" i="1"/>
  <c r="R16" i="1"/>
  <c r="J8" i="1"/>
  <c r="J5" i="1"/>
  <c r="L6" i="1"/>
  <c r="L7" i="1"/>
  <c r="L8" i="1"/>
  <c r="L9" i="1"/>
  <c r="L10" i="1"/>
  <c r="L5" i="1"/>
  <c r="G6" i="1"/>
  <c r="H6" i="1" s="1"/>
  <c r="G7" i="1"/>
  <c r="H7" i="1" s="1"/>
  <c r="G8" i="1"/>
  <c r="H8" i="1" s="1"/>
  <c r="G9" i="1"/>
  <c r="G10" i="1"/>
  <c r="G5" i="1"/>
  <c r="H5" i="1" s="1"/>
  <c r="I6" i="1"/>
  <c r="M6" i="1" s="1"/>
  <c r="N6" i="1" s="1"/>
  <c r="P6" i="1" s="1"/>
  <c r="I10" i="1"/>
  <c r="M10" i="1" s="1"/>
  <c r="N10" i="1" s="1"/>
  <c r="P10" i="1" s="1"/>
  <c r="I9" i="1"/>
  <c r="M9" i="1" s="1"/>
  <c r="N9" i="1" s="1"/>
  <c r="P9" i="1" s="1"/>
  <c r="I7" i="1"/>
  <c r="M7" i="1" s="1"/>
  <c r="N7" i="1" s="1"/>
  <c r="P7" i="1" s="1"/>
  <c r="M8" i="1"/>
  <c r="N8" i="1" s="1"/>
  <c r="P8" i="1" s="1"/>
  <c r="M5" i="1"/>
  <c r="N5" i="1" s="1"/>
  <c r="P5" i="1" s="1"/>
  <c r="J10" i="1" l="1"/>
  <c r="B6" i="1"/>
  <c r="B7" i="1" s="1"/>
  <c r="J7" i="1"/>
  <c r="H10" i="1"/>
  <c r="J6" i="1"/>
  <c r="J12" i="1" s="1"/>
  <c r="H9" i="1"/>
  <c r="J9" i="1"/>
  <c r="K15" i="2"/>
  <c r="K10" i="2"/>
  <c r="H4" i="2"/>
  <c r="K28" i="2"/>
  <c r="L11" i="1"/>
  <c r="B4" i="1" s="1"/>
  <c r="B5" i="1" l="1"/>
</calcChain>
</file>

<file path=xl/sharedStrings.xml><?xml version="1.0" encoding="utf-8"?>
<sst xmlns="http://schemas.openxmlformats.org/spreadsheetml/2006/main" count="469" uniqueCount="145">
  <si>
    <t>ganancia</t>
  </si>
  <si>
    <t>lote 10 en smartled</t>
  </si>
  <si>
    <t>3/3</t>
  </si>
  <si>
    <t>2/2</t>
  </si>
  <si>
    <t>valor unitario compra</t>
  </si>
  <si>
    <t>ganancia por 100</t>
  </si>
  <si>
    <t>valor de 10 unidades</t>
  </si>
  <si>
    <t>valor unitario venta</t>
  </si>
  <si>
    <t>INVERSIÓN</t>
  </si>
  <si>
    <t>INGRESO TOTAL</t>
  </si>
  <si>
    <t>GANANCIA</t>
  </si>
  <si>
    <t>CANTIDAD COMPRADA</t>
  </si>
  <si>
    <t>100</t>
  </si>
  <si>
    <t>50</t>
  </si>
  <si>
    <t>GANANCIA 30%</t>
  </si>
  <si>
    <t>valor unit en demasled</t>
  </si>
  <si>
    <t>compra mas envio</t>
  </si>
  <si>
    <t>101</t>
  </si>
  <si>
    <t>102</t>
  </si>
  <si>
    <t>103</t>
  </si>
  <si>
    <t>104</t>
  </si>
  <si>
    <t>pack 30</t>
  </si>
  <si>
    <t>3</t>
  </si>
  <si>
    <t>8</t>
  </si>
  <si>
    <t>+ envio</t>
  </si>
  <si>
    <t>packs</t>
  </si>
  <si>
    <t>ingreso</t>
  </si>
  <si>
    <t>ingreso packs</t>
  </si>
  <si>
    <t>valor venta</t>
  </si>
  <si>
    <t>2</t>
  </si>
  <si>
    <t>5</t>
  </si>
  <si>
    <t>inversión inicial</t>
  </si>
  <si>
    <t>ingresos totales</t>
  </si>
  <si>
    <t>recuperado</t>
  </si>
  <si>
    <t>cantidad</t>
  </si>
  <si>
    <t>invertido</t>
  </si>
  <si>
    <t>total</t>
  </si>
  <si>
    <t>luz</t>
  </si>
  <si>
    <t>cable</t>
  </si>
  <si>
    <t>celular</t>
  </si>
  <si>
    <t>silvana</t>
  </si>
  <si>
    <t>arriendo</t>
  </si>
  <si>
    <t>comida</t>
  </si>
  <si>
    <t>gasto fijo mensual</t>
  </si>
  <si>
    <t>seguro cesantía</t>
  </si>
  <si>
    <t>chequera</t>
  </si>
  <si>
    <t>total disponible</t>
  </si>
  <si>
    <t>meses sobrevivencia</t>
  </si>
  <si>
    <t>hueveo</t>
  </si>
  <si>
    <t>ganancia total</t>
  </si>
  <si>
    <t>inversión ventas</t>
  </si>
  <si>
    <t>2/4</t>
  </si>
  <si>
    <t>2/6</t>
  </si>
  <si>
    <t>3/6</t>
  </si>
  <si>
    <t>TOTAL</t>
  </si>
  <si>
    <t>2/2 C</t>
  </si>
  <si>
    <t>3/3 C</t>
  </si>
  <si>
    <t>valor paquete</t>
  </si>
  <si>
    <t>unidades</t>
  </si>
  <si>
    <t>p unit compra</t>
  </si>
  <si>
    <t>precio venta</t>
  </si>
  <si>
    <t>constante venta</t>
  </si>
  <si>
    <t>pack</t>
  </si>
  <si>
    <t>total por vender</t>
  </si>
  <si>
    <t>entradas</t>
  </si>
  <si>
    <t>salidas</t>
  </si>
  <si>
    <t>precio pack</t>
  </si>
  <si>
    <t>pack(un)</t>
  </si>
  <si>
    <t>CONECTORES RÁPIDO TIPO WAGO</t>
  </si>
  <si>
    <t>Claudio Carrasco Navarrete</t>
  </si>
  <si>
    <t>claudio.hcn@outlook.com</t>
  </si>
  <si>
    <t>contacto:</t>
  </si>
  <si>
    <t>teléfono:</t>
  </si>
  <si>
    <t>correo:</t>
  </si>
  <si>
    <t>precio unidad</t>
  </si>
  <si>
    <t>ganancia por vender</t>
  </si>
  <si>
    <t>LEAKA</t>
  </si>
  <si>
    <t>2/3</t>
  </si>
  <si>
    <t>VALOR UNIDAD</t>
  </si>
  <si>
    <t>ENVIO</t>
  </si>
  <si>
    <t>gasto total</t>
  </si>
  <si>
    <t>enero</t>
  </si>
  <si>
    <t>febrero</t>
  </si>
  <si>
    <t>marzo</t>
  </si>
  <si>
    <t>abril</t>
  </si>
  <si>
    <t>mayo</t>
  </si>
  <si>
    <t>bolsas</t>
  </si>
  <si>
    <t>junio</t>
  </si>
  <si>
    <t>julio</t>
  </si>
  <si>
    <t>120+90</t>
  </si>
  <si>
    <t>en camino</t>
  </si>
  <si>
    <t>AGOSTO</t>
  </si>
  <si>
    <t>CANCELADA</t>
  </si>
  <si>
    <t>tipo conector</t>
  </si>
  <si>
    <t>2 entradas</t>
  </si>
  <si>
    <t>3 entradas</t>
  </si>
  <si>
    <t>5 entradas</t>
  </si>
  <si>
    <t>8 entradas</t>
  </si>
  <si>
    <t>2 ent/2 sal</t>
  </si>
  <si>
    <t>3 ent/3 sal</t>
  </si>
  <si>
    <t>2 ent/4 sal</t>
  </si>
  <si>
    <t>2 ent/6 sal</t>
  </si>
  <si>
    <t>3 ent/6 sal</t>
  </si>
  <si>
    <t>precio unitario</t>
  </si>
  <si>
    <t>precio compra</t>
  </si>
  <si>
    <t>pedido</t>
  </si>
  <si>
    <t>3 ent/ 6 sal</t>
  </si>
  <si>
    <t>conector doble</t>
  </si>
  <si>
    <t>conector triple</t>
  </si>
  <si>
    <t>3ent/6 sal</t>
  </si>
  <si>
    <t>en Stock</t>
  </si>
  <si>
    <t>Septiembre</t>
  </si>
  <si>
    <t>bl doble</t>
  </si>
  <si>
    <t>bl triple</t>
  </si>
  <si>
    <t>OCTUBRE</t>
  </si>
  <si>
    <t>4</t>
  </si>
  <si>
    <t>74hc02</t>
  </si>
  <si>
    <t>74hc08</t>
  </si>
  <si>
    <t>cd4017</t>
  </si>
  <si>
    <t>74hc32</t>
  </si>
  <si>
    <t>74hc00</t>
  </si>
  <si>
    <t>74hc04</t>
  </si>
  <si>
    <t>1n4007</t>
  </si>
  <si>
    <t>bta24 600</t>
  </si>
  <si>
    <t>lm741</t>
  </si>
  <si>
    <t>conectores blancos</t>
  </si>
  <si>
    <t>1n4007 74hc32 7402</t>
  </si>
  <si>
    <t>conectores grandes</t>
  </si>
  <si>
    <t>triac</t>
  </si>
  <si>
    <t>cables</t>
  </si>
  <si>
    <t>conectores 36</t>
  </si>
  <si>
    <t>conectores 26</t>
  </si>
  <si>
    <t>conector 8</t>
  </si>
  <si>
    <t>conector 4</t>
  </si>
  <si>
    <t>conector 24</t>
  </si>
  <si>
    <t>kits</t>
  </si>
  <si>
    <t xml:space="preserve">   </t>
  </si>
  <si>
    <t>total invertido</t>
  </si>
  <si>
    <t>noviembre</t>
  </si>
  <si>
    <t>doble</t>
  </si>
  <si>
    <t>triple</t>
  </si>
  <si>
    <t>4 entradas</t>
  </si>
  <si>
    <t>kit</t>
  </si>
  <si>
    <t>diciembre</t>
  </si>
  <si>
    <t>uñetas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</si>
</sst>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&quot;$&quot;\ #,##0"/>
    <numFmt numFmtId="167" formatCode="0.0%"/>
    <numFmt numFmtId="168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2" fontId="1" fillId="0" borderId="0" applyFon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9" fontId="0" fillId="0" borderId="0" xfId="2" applyFont="1"/>
    <xf numFmtId="164" fontId="0" fillId="0" borderId="0" xfId="1" applyFont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/>
    <xf numFmtId="166" fontId="0" fillId="0" borderId="0" xfId="0" applyNumberFormat="1"/>
    <xf numFmtId="14" fontId="0" fillId="0" borderId="0" xfId="0" applyNumberFormat="1"/>
    <xf numFmtId="167" fontId="0" fillId="0" borderId="0" xfId="2" applyNumberFormat="1" applyFont="1"/>
    <xf numFmtId="0" fontId="2" fillId="0" borderId="0" xfId="0" applyFont="1"/>
    <xf numFmtId="165" fontId="2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0" fillId="0" borderId="1" xfId="0" applyFill="1" applyBorder="1" applyAlignment="1">
      <alignment vertical="center"/>
    </xf>
    <xf numFmtId="165" fontId="0" fillId="0" borderId="1" xfId="1" applyNumberFormat="1" applyFont="1" applyFill="1" applyBorder="1" applyAlignment="1">
      <alignment vertical="center"/>
    </xf>
    <xf numFmtId="165" fontId="0" fillId="0" borderId="1" xfId="1" applyNumberFormat="1" applyFont="1" applyBorder="1"/>
    <xf numFmtId="0" fontId="0" fillId="0" borderId="1" xfId="0" applyBorder="1"/>
    <xf numFmtId="9" fontId="0" fillId="0" borderId="1" xfId="2" applyFont="1" applyBorder="1"/>
    <xf numFmtId="168" fontId="0" fillId="0" borderId="1" xfId="1" applyNumberFormat="1" applyFont="1" applyBorder="1"/>
    <xf numFmtId="16" fontId="0" fillId="0" borderId="1" xfId="0" applyNumberFormat="1" applyBorder="1"/>
    <xf numFmtId="14" fontId="0" fillId="0" borderId="1" xfId="0" applyNumberFormat="1" applyBorder="1"/>
    <xf numFmtId="9" fontId="0" fillId="0" borderId="0" xfId="0" applyNumberFormat="1"/>
    <xf numFmtId="165" fontId="0" fillId="2" borderId="0" xfId="1" applyNumberFormat="1" applyFont="1" applyFill="1"/>
    <xf numFmtId="0" fontId="0" fillId="0" borderId="0" xfId="0" applyFill="1"/>
    <xf numFmtId="49" fontId="0" fillId="0" borderId="0" xfId="0" applyNumberFormat="1" applyFill="1"/>
    <xf numFmtId="165" fontId="0" fillId="0" borderId="0" xfId="2" applyNumberFormat="1" applyFont="1"/>
    <xf numFmtId="9" fontId="0" fillId="0" borderId="1" xfId="2" applyFont="1" applyFill="1" applyBorder="1"/>
    <xf numFmtId="165" fontId="4" fillId="0" borderId="1" xfId="1" applyNumberFormat="1" applyFont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65" fontId="0" fillId="0" borderId="1" xfId="1" applyNumberFormat="1" applyFont="1" applyFill="1" applyBorder="1"/>
    <xf numFmtId="14" fontId="0" fillId="0" borderId="1" xfId="0" applyNumberFormat="1" applyFill="1" applyBorder="1"/>
    <xf numFmtId="1" fontId="0" fillId="0" borderId="1" xfId="1" applyNumberFormat="1" applyFont="1" applyBorder="1"/>
    <xf numFmtId="1" fontId="0" fillId="0" borderId="1" xfId="1" applyNumberFormat="1" applyFont="1" applyFill="1" applyBorder="1"/>
    <xf numFmtId="165" fontId="0" fillId="0" borderId="1" xfId="0" applyNumberFormat="1" applyBorder="1"/>
    <xf numFmtId="9" fontId="0" fillId="2" borderId="1" xfId="2" applyFont="1" applyFill="1" applyBorder="1"/>
    <xf numFmtId="166" fontId="0" fillId="0" borderId="1" xfId="0" applyNumberFormat="1" applyBorder="1"/>
    <xf numFmtId="0" fontId="0" fillId="0" borderId="1" xfId="0" applyFill="1" applyBorder="1"/>
    <xf numFmtId="42" fontId="0" fillId="0" borderId="0" xfId="4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49" fontId="0" fillId="0" borderId="0" xfId="2" applyNumberFormat="1" applyFont="1" applyAlignment="1">
      <alignment horizontal="left"/>
    </xf>
    <xf numFmtId="3" fontId="0" fillId="0" borderId="0" xfId="0" applyNumberFormat="1"/>
    <xf numFmtId="3" fontId="0" fillId="0" borderId="0" xfId="2" applyNumberFormat="1" applyFont="1"/>
    <xf numFmtId="0" fontId="6" fillId="0" borderId="0" xfId="0" applyFont="1"/>
    <xf numFmtId="16" fontId="0" fillId="0" borderId="0" xfId="0" applyNumberFormat="1"/>
    <xf numFmtId="42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3" applyAlignment="1">
      <alignment horizontal="left"/>
    </xf>
  </cellXfs>
  <cellStyles count="5">
    <cellStyle name="Hipervínculo" xfId="3" builtinId="8"/>
    <cellStyle name="Moneda" xfId="1" builtinId="4"/>
    <cellStyle name="Moneda [0]" xfId="4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Ventas</a:t>
            </a:r>
            <a:r>
              <a:rPr lang="es-CL" baseline="0"/>
              <a:t> Claudio 2021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Hoja8!$D$2:$D$13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Hoja8!$E$2:$E$13</c:f>
              <c:numCache>
                <c:formatCode>_-"$"\ * #,##0_-;\-"$"\ * #,##0_-;_-"$"\ * "-"??_-;_-@_-</c:formatCode>
                <c:ptCount val="12"/>
                <c:pt idx="0">
                  <c:v>13120</c:v>
                </c:pt>
                <c:pt idx="1">
                  <c:v>53200</c:v>
                </c:pt>
                <c:pt idx="2">
                  <c:v>46965</c:v>
                </c:pt>
                <c:pt idx="3">
                  <c:v>106804</c:v>
                </c:pt>
                <c:pt idx="4">
                  <c:v>251852</c:v>
                </c:pt>
                <c:pt idx="5">
                  <c:v>220616</c:v>
                </c:pt>
                <c:pt idx="6">
                  <c:v>164930</c:v>
                </c:pt>
                <c:pt idx="7" formatCode="_(&quot;$&quot;* #,##0_);_(&quot;$&quot;* \(#,##0\);_(&quot;$&quot;* &quot;-&quot;_);_(@_)">
                  <c:v>413364</c:v>
                </c:pt>
                <c:pt idx="8" formatCode="_(&quot;$&quot;* #,##0_);_(&quot;$&quot;* \(#,##0\);_(&quot;$&quot;* &quot;-&quot;_);_(@_)">
                  <c:v>268036</c:v>
                </c:pt>
                <c:pt idx="9" formatCode="_(&quot;$&quot;* #,##0_);_(&quot;$&quot;* \(#,##0\);_(&quot;$&quot;* &quot;-&quot;_);_(@_)">
                  <c:v>344038</c:v>
                </c:pt>
                <c:pt idx="10" formatCode="_(&quot;$&quot;* #,##0_);_(&quot;$&quot;* \(#,##0\);_(&quot;$&quot;* &quot;-&quot;_);_(@_)">
                  <c:v>501434</c:v>
                </c:pt>
                <c:pt idx="11" formatCode="_(&quot;$&quot;* #,##0_);_(&quot;$&quot;* \(#,##0\);_(&quot;$&quot;* &quot;-&quot;_);_(@_)">
                  <c:v>342208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F-457A-A64F-A64CF23024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Hoja8!$D$2:$D$13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Hoja8!$F$2:$F$13</c:f>
              <c:numCache>
                <c:formatCode>_("$"* #,##0_);_("$"* \(#,##0\);_("$"* "-"_);_(@_)</c:formatCode>
                <c:ptCount val="12"/>
                <c:pt idx="0">
                  <c:v>4430</c:v>
                </c:pt>
                <c:pt idx="1">
                  <c:v>16520</c:v>
                </c:pt>
                <c:pt idx="2">
                  <c:v>14770</c:v>
                </c:pt>
                <c:pt idx="3">
                  <c:v>33270</c:v>
                </c:pt>
                <c:pt idx="4">
                  <c:v>80478.399999999994</c:v>
                </c:pt>
                <c:pt idx="5">
                  <c:v>69300.200000000012</c:v>
                </c:pt>
                <c:pt idx="6">
                  <c:v>51345</c:v>
                </c:pt>
                <c:pt idx="7">
                  <c:v>129395</c:v>
                </c:pt>
                <c:pt idx="8">
                  <c:v>86625</c:v>
                </c:pt>
                <c:pt idx="9">
                  <c:v>116583.5</c:v>
                </c:pt>
                <c:pt idx="10">
                  <c:v>168262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F-457A-A64F-A64CF2302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73312"/>
        <c:axId val="467173640"/>
      </c:lineChart>
      <c:catAx>
        <c:axId val="4671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7173640"/>
        <c:crosses val="autoZero"/>
        <c:auto val="1"/>
        <c:lblAlgn val="ctr"/>
        <c:lblOffset val="100"/>
        <c:noMultiLvlLbl val="0"/>
      </c:catAx>
      <c:valAx>
        <c:axId val="4671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71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14</xdr:row>
      <xdr:rowOff>22860</xdr:rowOff>
    </xdr:from>
    <xdr:to>
      <xdr:col>13</xdr:col>
      <xdr:colOff>541020</xdr:colOff>
      <xdr:row>32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4360-5B45-4547-BC47-51F99584D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695325</xdr:colOff>
      <xdr:row>2</xdr:row>
      <xdr:rowOff>57150</xdr:rowOff>
    </xdr:from>
    <xdr:to>
      <xdr:col>3</xdr:col>
      <xdr:colOff>754626</xdr:colOff>
      <xdr:row>3</xdr:row>
      <xdr:rowOff>9525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438150"/>
          <a:ext cx="821301" cy="7715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7170" name="AutoShape 2" descr="40pcs Pct-212/213/214/215 Pc Conector Llama Bloque De Termin">
          <a:extLst>
            <a:ext uri="{FF2B5EF4-FFF2-40B4-BE49-F238E27FC236}">
              <a16:creationId xmlns:a16="http://schemas.microsoft.com/office/drawing/2014/main" id="{00000000-0008-0000-0500-0000021C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2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602512</xdr:colOff>
      <xdr:row>3</xdr:row>
      <xdr:rowOff>809625</xdr:rowOff>
    </xdr:from>
    <xdr:to>
      <xdr:col>3</xdr:col>
      <xdr:colOff>739390</xdr:colOff>
      <xdr:row>4</xdr:row>
      <xdr:rowOff>723900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6512" y="2009775"/>
          <a:ext cx="898878" cy="733425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676276</xdr:colOff>
      <xdr:row>2</xdr:row>
      <xdr:rowOff>800101</xdr:rowOff>
    </xdr:from>
    <xdr:to>
      <xdr:col>3</xdr:col>
      <xdr:colOff>738956</xdr:colOff>
      <xdr:row>4</xdr:row>
      <xdr:rowOff>1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0276" y="1181101"/>
          <a:ext cx="824680" cy="838200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5</xdr:row>
      <xdr:rowOff>47625</xdr:rowOff>
    </xdr:from>
    <xdr:to>
      <xdr:col>3</xdr:col>
      <xdr:colOff>747289</xdr:colOff>
      <xdr:row>5</xdr:row>
      <xdr:rowOff>771525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6450" y="2886075"/>
          <a:ext cx="956839" cy="723900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638175</xdr:colOff>
      <xdr:row>5</xdr:row>
      <xdr:rowOff>752475</xdr:rowOff>
    </xdr:from>
    <xdr:to>
      <xdr:col>3</xdr:col>
      <xdr:colOff>704850</xdr:colOff>
      <xdr:row>7</xdr:row>
      <xdr:rowOff>16637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62175" y="3590925"/>
          <a:ext cx="828675" cy="902462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628651</xdr:colOff>
      <xdr:row>6</xdr:row>
      <xdr:rowOff>800101</xdr:rowOff>
    </xdr:from>
    <xdr:to>
      <xdr:col>3</xdr:col>
      <xdr:colOff>744937</xdr:colOff>
      <xdr:row>8</xdr:row>
      <xdr:rowOff>19050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52651" y="4457701"/>
          <a:ext cx="878286" cy="857249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685801</xdr:colOff>
      <xdr:row>8</xdr:row>
      <xdr:rowOff>9526</xdr:rowOff>
    </xdr:from>
    <xdr:to>
      <xdr:col>3</xdr:col>
      <xdr:colOff>712531</xdr:colOff>
      <xdr:row>9</xdr:row>
      <xdr:rowOff>0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09801" y="5305426"/>
          <a:ext cx="788730" cy="809624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8</xdr:row>
      <xdr:rowOff>809626</xdr:rowOff>
    </xdr:from>
    <xdr:to>
      <xdr:col>3</xdr:col>
      <xdr:colOff>660916</xdr:colOff>
      <xdr:row>9</xdr:row>
      <xdr:rowOff>809626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43125" y="6105526"/>
          <a:ext cx="803791" cy="819150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552451</xdr:colOff>
      <xdr:row>10</xdr:row>
      <xdr:rowOff>9526</xdr:rowOff>
    </xdr:from>
    <xdr:to>
      <xdr:col>3</xdr:col>
      <xdr:colOff>739312</xdr:colOff>
      <xdr:row>11</xdr:row>
      <xdr:rowOff>95250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76451" y="6943726"/>
          <a:ext cx="948861" cy="904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claudio.hcn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0"/>
  <sheetViews>
    <sheetView workbookViewId="0">
      <selection activeCell="E16" sqref="E16"/>
    </sheetView>
  </sheetViews>
  <sheetFormatPr baseColWidth="10" defaultRowHeight="14.4" x14ac:dyDescent="0.3"/>
  <cols>
    <col min="1" max="1" width="19.5546875" bestFit="1" customWidth="1"/>
    <col min="2" max="2" width="14.5546875" bestFit="1" customWidth="1"/>
    <col min="3" max="3" width="3.88671875" style="1" bestFit="1" customWidth="1"/>
    <col min="4" max="4" width="21.44140625" style="1" bestFit="1" customWidth="1"/>
    <col min="5" max="5" width="18.109375" bestFit="1" customWidth="1"/>
    <col min="6" max="6" width="21.5546875" bestFit="1" customWidth="1"/>
    <col min="7" max="7" width="18.109375" customWidth="1"/>
    <col min="8" max="8" width="15" customWidth="1"/>
    <col min="9" max="9" width="20" bestFit="1" customWidth="1"/>
    <col min="10" max="10" width="20" customWidth="1"/>
    <col min="11" max="11" width="14.6640625" bestFit="1" customWidth="1"/>
    <col min="12" max="12" width="7" bestFit="1" customWidth="1"/>
    <col min="13" max="13" width="19.33203125" bestFit="1" customWidth="1"/>
    <col min="15" max="15" width="7.44140625" bestFit="1" customWidth="1"/>
    <col min="16" max="16" width="15.5546875" bestFit="1" customWidth="1"/>
    <col min="17" max="17" width="5.88671875" bestFit="1" customWidth="1"/>
  </cols>
  <sheetData>
    <row r="3" spans="1:18" x14ac:dyDescent="0.3">
      <c r="A3" t="s">
        <v>8</v>
      </c>
      <c r="B3" s="6">
        <v>90000</v>
      </c>
      <c r="G3" t="s">
        <v>7</v>
      </c>
      <c r="K3">
        <v>3</v>
      </c>
      <c r="M3" t="s">
        <v>6</v>
      </c>
    </row>
    <row r="4" spans="1:18" x14ac:dyDescent="0.3">
      <c r="A4" t="s">
        <v>9</v>
      </c>
      <c r="B4" s="7">
        <f>L11</f>
        <v>331200</v>
      </c>
      <c r="D4" s="1" t="s">
        <v>11</v>
      </c>
      <c r="E4" t="s">
        <v>1</v>
      </c>
      <c r="F4" s="1" t="s">
        <v>15</v>
      </c>
      <c r="G4">
        <v>10</v>
      </c>
      <c r="I4" t="s">
        <v>4</v>
      </c>
      <c r="J4" t="s">
        <v>16</v>
      </c>
      <c r="K4" t="s">
        <v>14</v>
      </c>
      <c r="M4">
        <v>10</v>
      </c>
      <c r="N4" t="s">
        <v>0</v>
      </c>
      <c r="P4" t="s">
        <v>5</v>
      </c>
    </row>
    <row r="5" spans="1:18" x14ac:dyDescent="0.3">
      <c r="A5" t="s">
        <v>10</v>
      </c>
      <c r="B5" s="7">
        <f>B4-B3</f>
        <v>241200</v>
      </c>
      <c r="C5" s="1">
        <v>2</v>
      </c>
      <c r="D5" s="1" t="s">
        <v>12</v>
      </c>
      <c r="E5">
        <v>3490</v>
      </c>
      <c r="F5">
        <v>450</v>
      </c>
      <c r="G5">
        <f t="shared" ref="G5:G10" si="0">E5/$G$4</f>
        <v>349</v>
      </c>
      <c r="H5" s="3">
        <f t="shared" ref="H5:H10" si="1">G5/I5</f>
        <v>3.3713292117465223</v>
      </c>
      <c r="I5">
        <f>(7264+3088)/100</f>
        <v>103.52</v>
      </c>
      <c r="J5" s="4">
        <f t="shared" ref="J5:J10" si="2">I5*D5</f>
        <v>10352</v>
      </c>
      <c r="K5">
        <v>300</v>
      </c>
      <c r="L5" s="1">
        <f t="shared" ref="L5:L10" si="3">D5*K5</f>
        <v>30000</v>
      </c>
      <c r="M5">
        <f t="shared" ref="M5:M10" si="4">I5*$M$4</f>
        <v>1035.2</v>
      </c>
      <c r="N5">
        <f t="shared" ref="N5:N10" si="5">E5-M5</f>
        <v>2454.8000000000002</v>
      </c>
      <c r="P5">
        <f t="shared" ref="P5:P10" si="6">N5*Q5</f>
        <v>24548</v>
      </c>
      <c r="Q5">
        <v>10</v>
      </c>
    </row>
    <row r="6" spans="1:18" x14ac:dyDescent="0.3">
      <c r="A6" t="s">
        <v>27</v>
      </c>
      <c r="B6" s="7">
        <f>SUM(R14:R19)</f>
        <v>317500</v>
      </c>
      <c r="C6" s="1" t="s">
        <v>3</v>
      </c>
      <c r="D6" s="1" t="s">
        <v>17</v>
      </c>
      <c r="E6">
        <v>6490</v>
      </c>
      <c r="G6">
        <f t="shared" si="0"/>
        <v>649</v>
      </c>
      <c r="H6" s="3">
        <f t="shared" si="1"/>
        <v>2.8897101384745536</v>
      </c>
      <c r="I6">
        <f>(19371+3088)/100</f>
        <v>224.59</v>
      </c>
      <c r="J6" s="4">
        <f t="shared" si="2"/>
        <v>22683.59</v>
      </c>
      <c r="K6">
        <v>650</v>
      </c>
      <c r="L6" s="1">
        <f t="shared" si="3"/>
        <v>65650</v>
      </c>
      <c r="M6">
        <f t="shared" si="4"/>
        <v>2245.9</v>
      </c>
      <c r="N6">
        <f t="shared" si="5"/>
        <v>4244.1000000000004</v>
      </c>
      <c r="P6">
        <f t="shared" si="6"/>
        <v>42441</v>
      </c>
      <c r="Q6">
        <v>10</v>
      </c>
    </row>
    <row r="7" spans="1:18" x14ac:dyDescent="0.3">
      <c r="A7" t="s">
        <v>0</v>
      </c>
      <c r="B7" s="6">
        <f>B6-B3</f>
        <v>227500</v>
      </c>
      <c r="C7" s="1">
        <v>3</v>
      </c>
      <c r="D7" s="1" t="s">
        <v>18</v>
      </c>
      <c r="E7">
        <v>4290</v>
      </c>
      <c r="F7">
        <v>450</v>
      </c>
      <c r="G7">
        <f t="shared" si="0"/>
        <v>429</v>
      </c>
      <c r="H7" s="3">
        <f t="shared" si="1"/>
        <v>3.3644420045486627</v>
      </c>
      <c r="I7">
        <f>(9663+3088)/100</f>
        <v>127.51</v>
      </c>
      <c r="J7" s="4">
        <f t="shared" si="2"/>
        <v>13006.02</v>
      </c>
      <c r="K7">
        <v>450</v>
      </c>
      <c r="L7" s="1">
        <f t="shared" si="3"/>
        <v>45900</v>
      </c>
      <c r="M7">
        <f t="shared" si="4"/>
        <v>1275.1000000000001</v>
      </c>
      <c r="N7">
        <f t="shared" si="5"/>
        <v>3014.8999999999996</v>
      </c>
      <c r="P7">
        <f t="shared" si="6"/>
        <v>30148.999999999996</v>
      </c>
      <c r="Q7">
        <v>10</v>
      </c>
    </row>
    <row r="8" spans="1:18" x14ac:dyDescent="0.3">
      <c r="C8" s="2" t="s">
        <v>2</v>
      </c>
      <c r="D8" s="1" t="s">
        <v>19</v>
      </c>
      <c r="E8">
        <v>7490</v>
      </c>
      <c r="G8">
        <f t="shared" si="0"/>
        <v>749</v>
      </c>
      <c r="H8" s="3">
        <f t="shared" si="1"/>
        <v>2.6269640852974185</v>
      </c>
      <c r="I8">
        <v>285.12</v>
      </c>
      <c r="J8" s="4">
        <f t="shared" si="2"/>
        <v>29367.360000000001</v>
      </c>
      <c r="K8">
        <v>750</v>
      </c>
      <c r="L8" s="1">
        <f t="shared" si="3"/>
        <v>77250</v>
      </c>
      <c r="M8">
        <f t="shared" si="4"/>
        <v>2851.2</v>
      </c>
      <c r="N8">
        <f t="shared" si="5"/>
        <v>4638.8</v>
      </c>
      <c r="P8">
        <f t="shared" si="6"/>
        <v>46388</v>
      </c>
      <c r="Q8">
        <v>10</v>
      </c>
    </row>
    <row r="9" spans="1:18" x14ac:dyDescent="0.3">
      <c r="C9" s="1">
        <v>5</v>
      </c>
      <c r="D9" s="1" t="s">
        <v>20</v>
      </c>
      <c r="E9">
        <v>4790</v>
      </c>
      <c r="F9">
        <v>630</v>
      </c>
      <c r="G9">
        <f t="shared" si="0"/>
        <v>479</v>
      </c>
      <c r="H9" s="3">
        <f t="shared" si="1"/>
        <v>2.9063770402281413</v>
      </c>
      <c r="I9">
        <f>(13393+3088)/100</f>
        <v>164.81</v>
      </c>
      <c r="J9" s="4">
        <f t="shared" si="2"/>
        <v>17140.240000000002</v>
      </c>
      <c r="K9">
        <v>600</v>
      </c>
      <c r="L9" s="1">
        <f t="shared" si="3"/>
        <v>62400</v>
      </c>
      <c r="M9">
        <f t="shared" si="4"/>
        <v>1648.1</v>
      </c>
      <c r="N9">
        <f t="shared" si="5"/>
        <v>3141.9</v>
      </c>
      <c r="P9">
        <f t="shared" si="6"/>
        <v>31419</v>
      </c>
      <c r="Q9">
        <v>10</v>
      </c>
    </row>
    <row r="10" spans="1:18" x14ac:dyDescent="0.3">
      <c r="C10" s="1">
        <v>8</v>
      </c>
      <c r="D10" s="1" t="s">
        <v>13</v>
      </c>
      <c r="E10">
        <v>9190</v>
      </c>
      <c r="G10">
        <f t="shared" si="0"/>
        <v>919</v>
      </c>
      <c r="H10" s="3">
        <f t="shared" si="1"/>
        <v>3.1976339596381353</v>
      </c>
      <c r="I10">
        <f>(11282+3088)/50</f>
        <v>287.39999999999998</v>
      </c>
      <c r="J10" s="4">
        <f t="shared" si="2"/>
        <v>14369.999999999998</v>
      </c>
      <c r="K10">
        <v>1000</v>
      </c>
      <c r="L10" s="1">
        <f t="shared" si="3"/>
        <v>50000</v>
      </c>
      <c r="M10">
        <f t="shared" si="4"/>
        <v>2874</v>
      </c>
      <c r="N10">
        <f t="shared" si="5"/>
        <v>6316</v>
      </c>
      <c r="P10">
        <f t="shared" si="6"/>
        <v>31580</v>
      </c>
      <c r="Q10">
        <v>5</v>
      </c>
    </row>
    <row r="11" spans="1:18" x14ac:dyDescent="0.3">
      <c r="L11" s="1">
        <f>SUM(L5:L10)</f>
        <v>331200</v>
      </c>
    </row>
    <row r="12" spans="1:18" x14ac:dyDescent="0.3">
      <c r="J12" s="5">
        <f>SUM(J5:J10)</f>
        <v>106919.21</v>
      </c>
    </row>
    <row r="13" spans="1:18" x14ac:dyDescent="0.3">
      <c r="M13" t="s">
        <v>21</v>
      </c>
      <c r="O13" s="1" t="s">
        <v>24</v>
      </c>
      <c r="P13" s="8" t="s">
        <v>28</v>
      </c>
      <c r="Q13" t="s">
        <v>25</v>
      </c>
      <c r="R13" t="s">
        <v>26</v>
      </c>
    </row>
    <row r="14" spans="1:18" x14ac:dyDescent="0.3">
      <c r="L14" s="1">
        <v>2</v>
      </c>
      <c r="M14">
        <f t="shared" ref="M14:M19" si="7">K5*N14</f>
        <v>15000</v>
      </c>
      <c r="N14">
        <v>50</v>
      </c>
      <c r="O14">
        <v>5000</v>
      </c>
      <c r="P14">
        <f t="shared" ref="P14:P19" si="8">M14+O14</f>
        <v>20000</v>
      </c>
      <c r="Q14">
        <v>2</v>
      </c>
      <c r="R14">
        <f t="shared" ref="R14:R19" si="9">M14*Q14</f>
        <v>30000</v>
      </c>
    </row>
    <row r="15" spans="1:18" x14ac:dyDescent="0.3">
      <c r="H15">
        <f>285.12*10</f>
        <v>2851.2</v>
      </c>
      <c r="J15">
        <f>30*712</f>
        <v>21360</v>
      </c>
      <c r="L15" s="1" t="s">
        <v>3</v>
      </c>
      <c r="M15">
        <f t="shared" si="7"/>
        <v>19500</v>
      </c>
      <c r="N15">
        <v>30</v>
      </c>
      <c r="O15">
        <v>5100</v>
      </c>
      <c r="P15">
        <f t="shared" si="8"/>
        <v>24600</v>
      </c>
      <c r="Q15">
        <v>3</v>
      </c>
      <c r="R15">
        <f t="shared" si="9"/>
        <v>58500</v>
      </c>
    </row>
    <row r="16" spans="1:18" x14ac:dyDescent="0.3">
      <c r="H16">
        <f>7500-H15</f>
        <v>4648.8</v>
      </c>
      <c r="L16" s="1" t="s">
        <v>22</v>
      </c>
      <c r="M16">
        <f t="shared" si="7"/>
        <v>22500</v>
      </c>
      <c r="N16">
        <v>50</v>
      </c>
      <c r="P16">
        <f t="shared" si="8"/>
        <v>22500</v>
      </c>
      <c r="Q16">
        <v>3</v>
      </c>
      <c r="R16">
        <f t="shared" si="9"/>
        <v>67500</v>
      </c>
    </row>
    <row r="17" spans="12:18" x14ac:dyDescent="0.3">
      <c r="L17" s="1" t="s">
        <v>2</v>
      </c>
      <c r="M17">
        <f t="shared" si="7"/>
        <v>22500</v>
      </c>
      <c r="N17">
        <v>30</v>
      </c>
      <c r="O17">
        <v>5100</v>
      </c>
      <c r="P17">
        <f t="shared" si="8"/>
        <v>27600</v>
      </c>
      <c r="Q17">
        <v>3</v>
      </c>
      <c r="R17">
        <f t="shared" si="9"/>
        <v>67500</v>
      </c>
    </row>
    <row r="18" spans="12:18" x14ac:dyDescent="0.3">
      <c r="L18" s="1" t="s">
        <v>30</v>
      </c>
      <c r="M18">
        <f t="shared" si="7"/>
        <v>18000</v>
      </c>
      <c r="N18">
        <v>30</v>
      </c>
      <c r="O18">
        <v>4400</v>
      </c>
      <c r="P18">
        <f t="shared" si="8"/>
        <v>22400</v>
      </c>
      <c r="Q18">
        <v>3</v>
      </c>
      <c r="R18">
        <f t="shared" si="9"/>
        <v>54000</v>
      </c>
    </row>
    <row r="19" spans="12:18" x14ac:dyDescent="0.3">
      <c r="L19" s="1" t="s">
        <v>23</v>
      </c>
      <c r="M19">
        <f t="shared" si="7"/>
        <v>20000</v>
      </c>
      <c r="N19">
        <v>20</v>
      </c>
      <c r="O19">
        <v>5100</v>
      </c>
      <c r="P19">
        <f t="shared" si="8"/>
        <v>25100</v>
      </c>
      <c r="Q19">
        <v>2</v>
      </c>
      <c r="R19">
        <f t="shared" si="9"/>
        <v>40000</v>
      </c>
    </row>
    <row r="20" spans="12:18" x14ac:dyDescent="0.3">
      <c r="L20" s="1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40"/>
  <sheetViews>
    <sheetView topLeftCell="A19" workbookViewId="0">
      <selection activeCell="E39" sqref="E39"/>
    </sheetView>
  </sheetViews>
  <sheetFormatPr baseColWidth="10" defaultRowHeight="14.4" x14ac:dyDescent="0.3"/>
  <cols>
    <col min="9" max="9" width="11.44140625" style="1"/>
  </cols>
  <sheetData>
    <row r="2" spans="2:13" x14ac:dyDescent="0.3">
      <c r="B2" s="11">
        <v>44179</v>
      </c>
      <c r="C2">
        <v>93164</v>
      </c>
      <c r="E2" t="s">
        <v>80</v>
      </c>
      <c r="F2">
        <f>SUM(C:C)</f>
        <v>1242421</v>
      </c>
    </row>
    <row r="3" spans="2:13" x14ac:dyDescent="0.3">
      <c r="B3" s="11">
        <v>44286</v>
      </c>
      <c r="C3">
        <v>48014</v>
      </c>
    </row>
    <row r="4" spans="2:13" x14ac:dyDescent="0.3">
      <c r="B4" s="11">
        <v>44286</v>
      </c>
      <c r="C4">
        <v>11637</v>
      </c>
    </row>
    <row r="5" spans="2:13" x14ac:dyDescent="0.3">
      <c r="B5" s="11">
        <v>44286</v>
      </c>
      <c r="C5">
        <v>18189</v>
      </c>
    </row>
    <row r="6" spans="2:13" x14ac:dyDescent="0.3">
      <c r="B6" s="11">
        <v>43922</v>
      </c>
      <c r="C6">
        <v>29420</v>
      </c>
    </row>
    <row r="7" spans="2:13" x14ac:dyDescent="0.3">
      <c r="B7" s="11">
        <v>44303</v>
      </c>
      <c r="C7">
        <v>38190</v>
      </c>
      <c r="E7" s="1" t="s">
        <v>29</v>
      </c>
      <c r="F7" s="1" t="s">
        <v>22</v>
      </c>
      <c r="G7" s="1" t="s">
        <v>30</v>
      </c>
      <c r="H7" s="1" t="s">
        <v>23</v>
      </c>
      <c r="I7" s="35" t="s">
        <v>3</v>
      </c>
      <c r="J7" s="35" t="s">
        <v>2</v>
      </c>
      <c r="K7" s="1"/>
      <c r="L7" s="1"/>
      <c r="M7" s="1"/>
    </row>
    <row r="8" spans="2:13" x14ac:dyDescent="0.3">
      <c r="B8" s="11">
        <v>44315</v>
      </c>
      <c r="C8">
        <v>10297</v>
      </c>
      <c r="E8">
        <v>99</v>
      </c>
      <c r="F8">
        <v>122</v>
      </c>
      <c r="G8">
        <v>159</v>
      </c>
      <c r="H8">
        <v>220</v>
      </c>
      <c r="I8" s="34">
        <v>197</v>
      </c>
      <c r="J8" s="34">
        <v>246</v>
      </c>
    </row>
    <row r="9" spans="2:13" x14ac:dyDescent="0.3">
      <c r="B9" s="11">
        <v>44315</v>
      </c>
      <c r="C9">
        <v>13342</v>
      </c>
      <c r="F9">
        <v>120</v>
      </c>
      <c r="G9">
        <v>157</v>
      </c>
    </row>
    <row r="10" spans="2:13" x14ac:dyDescent="0.3">
      <c r="B10" s="11">
        <v>44320</v>
      </c>
      <c r="C10">
        <v>25941</v>
      </c>
    </row>
    <row r="11" spans="2:13" x14ac:dyDescent="0.3">
      <c r="B11" s="11">
        <v>44323</v>
      </c>
      <c r="C11">
        <v>10307</v>
      </c>
    </row>
    <row r="12" spans="2:13" x14ac:dyDescent="0.3">
      <c r="B12" s="11">
        <v>44327</v>
      </c>
      <c r="C12">
        <v>8410</v>
      </c>
    </row>
    <row r="13" spans="2:13" x14ac:dyDescent="0.3">
      <c r="B13" s="11">
        <v>44327</v>
      </c>
      <c r="C13">
        <v>21147</v>
      </c>
    </row>
    <row r="14" spans="2:13" x14ac:dyDescent="0.3">
      <c r="B14" s="11">
        <v>44335</v>
      </c>
      <c r="C14">
        <v>22203</v>
      </c>
    </row>
    <row r="15" spans="2:13" x14ac:dyDescent="0.3">
      <c r="B15" s="11">
        <v>44335</v>
      </c>
      <c r="C15">
        <v>11985</v>
      </c>
    </row>
    <row r="16" spans="2:13" x14ac:dyDescent="0.3">
      <c r="B16" s="11">
        <v>44336</v>
      </c>
      <c r="C16">
        <v>13139</v>
      </c>
    </row>
    <row r="17" spans="2:3" x14ac:dyDescent="0.3">
      <c r="B17" s="11">
        <v>44336</v>
      </c>
      <c r="C17">
        <v>21494</v>
      </c>
    </row>
    <row r="18" spans="2:3" x14ac:dyDescent="0.3">
      <c r="B18" s="11">
        <v>44345</v>
      </c>
      <c r="C18">
        <v>45094</v>
      </c>
    </row>
    <row r="19" spans="2:3" x14ac:dyDescent="0.3">
      <c r="B19" s="11">
        <v>44392</v>
      </c>
      <c r="C19">
        <v>49768</v>
      </c>
    </row>
    <row r="20" spans="2:3" x14ac:dyDescent="0.3">
      <c r="B20" s="11">
        <v>44412</v>
      </c>
      <c r="C20">
        <v>46895</v>
      </c>
    </row>
    <row r="21" spans="2:3" x14ac:dyDescent="0.3">
      <c r="B21" s="11">
        <v>44416</v>
      </c>
      <c r="C21">
        <v>38030</v>
      </c>
    </row>
    <row r="22" spans="2:3" x14ac:dyDescent="0.3">
      <c r="B22" s="11">
        <v>44416</v>
      </c>
      <c r="C22">
        <v>44285</v>
      </c>
    </row>
    <row r="23" spans="2:3" x14ac:dyDescent="0.3">
      <c r="B23" s="11">
        <v>44423</v>
      </c>
      <c r="C23">
        <v>40017</v>
      </c>
    </row>
    <row r="24" spans="2:3" x14ac:dyDescent="0.3">
      <c r="B24" s="11">
        <v>44430</v>
      </c>
      <c r="C24">
        <v>32822</v>
      </c>
    </row>
    <row r="25" spans="2:3" x14ac:dyDescent="0.3">
      <c r="B25" s="11">
        <v>44430</v>
      </c>
      <c r="C25">
        <v>74432</v>
      </c>
    </row>
    <row r="26" spans="2:3" x14ac:dyDescent="0.3">
      <c r="B26" s="11">
        <v>44430</v>
      </c>
      <c r="C26">
        <v>28374</v>
      </c>
    </row>
    <row r="27" spans="2:3" x14ac:dyDescent="0.3">
      <c r="B27" s="11">
        <v>44459</v>
      </c>
      <c r="C27">
        <v>22374</v>
      </c>
    </row>
    <row r="28" spans="2:3" x14ac:dyDescent="0.3">
      <c r="C28">
        <v>3596</v>
      </c>
    </row>
    <row r="29" spans="2:3" x14ac:dyDescent="0.3">
      <c r="C29">
        <v>9514</v>
      </c>
    </row>
    <row r="30" spans="2:3" x14ac:dyDescent="0.3">
      <c r="C30">
        <v>20252</v>
      </c>
    </row>
    <row r="31" spans="2:3" x14ac:dyDescent="0.3">
      <c r="C31">
        <v>19873</v>
      </c>
    </row>
    <row r="32" spans="2:3" x14ac:dyDescent="0.3">
      <c r="C32">
        <v>10999</v>
      </c>
    </row>
    <row r="33" spans="3:3" x14ac:dyDescent="0.3">
      <c r="C33">
        <v>2893</v>
      </c>
    </row>
    <row r="34" spans="3:3" x14ac:dyDescent="0.3">
      <c r="C34">
        <v>72137</v>
      </c>
    </row>
    <row r="35" spans="3:3" x14ac:dyDescent="0.3">
      <c r="C35">
        <v>47359</v>
      </c>
    </row>
    <row r="36" spans="3:3" x14ac:dyDescent="0.3">
      <c r="C36">
        <v>20868</v>
      </c>
    </row>
    <row r="37" spans="3:3" x14ac:dyDescent="0.3">
      <c r="C37">
        <v>13810</v>
      </c>
    </row>
    <row r="38" spans="3:3" x14ac:dyDescent="0.3">
      <c r="C38">
        <v>30755</v>
      </c>
    </row>
    <row r="39" spans="3:3" x14ac:dyDescent="0.3">
      <c r="C39">
        <v>146770</v>
      </c>
    </row>
    <row r="40" spans="3:3" x14ac:dyDescent="0.3">
      <c r="C40">
        <v>24625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2:H10"/>
  <sheetViews>
    <sheetView workbookViewId="0">
      <selection activeCell="E10" sqref="E10"/>
    </sheetView>
  </sheetViews>
  <sheetFormatPr baseColWidth="10" defaultRowHeight="14.4" x14ac:dyDescent="0.3"/>
  <sheetData>
    <row r="2" spans="5:8" x14ac:dyDescent="0.3">
      <c r="E2" s="30" t="s">
        <v>29</v>
      </c>
      <c r="F2" s="29">
        <v>270</v>
      </c>
      <c r="G2" s="29">
        <v>304</v>
      </c>
    </row>
    <row r="3" spans="5:8" x14ac:dyDescent="0.3">
      <c r="E3" s="30" t="s">
        <v>22</v>
      </c>
      <c r="F3" s="29">
        <v>100</v>
      </c>
      <c r="G3" s="29">
        <v>390</v>
      </c>
      <c r="H3">
        <f>F3*G3</f>
        <v>39000</v>
      </c>
    </row>
    <row r="4" spans="5:8" x14ac:dyDescent="0.3">
      <c r="E4" s="30" t="s">
        <v>30</v>
      </c>
      <c r="F4" s="29">
        <v>100</v>
      </c>
      <c r="G4" s="29">
        <v>476</v>
      </c>
      <c r="H4">
        <f>F4*G4</f>
        <v>47600</v>
      </c>
    </row>
    <row r="5" spans="5:8" x14ac:dyDescent="0.3">
      <c r="E5" s="30" t="s">
        <v>23</v>
      </c>
      <c r="F5" s="29">
        <v>100</v>
      </c>
      <c r="G5" s="29">
        <v>648</v>
      </c>
      <c r="H5">
        <f>F5*G5</f>
        <v>64800</v>
      </c>
    </row>
    <row r="6" spans="5:8" x14ac:dyDescent="0.3">
      <c r="E6" s="30" t="s">
        <v>3</v>
      </c>
      <c r="F6" s="29"/>
      <c r="G6" s="29">
        <v>520</v>
      </c>
    </row>
    <row r="7" spans="5:8" x14ac:dyDescent="0.3">
      <c r="E7" s="30" t="s">
        <v>2</v>
      </c>
      <c r="F7" s="29">
        <v>0</v>
      </c>
      <c r="G7" s="29">
        <v>752</v>
      </c>
    </row>
    <row r="8" spans="5:8" x14ac:dyDescent="0.3">
      <c r="E8" s="30" t="s">
        <v>51</v>
      </c>
      <c r="F8" s="29">
        <v>50</v>
      </c>
      <c r="G8" s="29">
        <v>1124</v>
      </c>
    </row>
    <row r="9" spans="5:8" x14ac:dyDescent="0.3">
      <c r="E9" s="1" t="s">
        <v>52</v>
      </c>
      <c r="F9">
        <v>30</v>
      </c>
      <c r="G9">
        <v>1640</v>
      </c>
    </row>
    <row r="10" spans="5:8" x14ac:dyDescent="0.3">
      <c r="E10" s="1" t="s">
        <v>53</v>
      </c>
      <c r="F10">
        <v>90</v>
      </c>
      <c r="G10">
        <v>1468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3:K13"/>
  <sheetViews>
    <sheetView workbookViewId="0">
      <selection activeCell="J16" sqref="J16"/>
    </sheetView>
  </sheetViews>
  <sheetFormatPr baseColWidth="10" defaultRowHeight="14.4" x14ac:dyDescent="0.3"/>
  <cols>
    <col min="4" max="4" width="12.6640625" bestFit="1" customWidth="1"/>
    <col min="9" max="9" width="12.6640625" bestFit="1" customWidth="1"/>
    <col min="10" max="10" width="14" bestFit="1" customWidth="1"/>
  </cols>
  <sheetData>
    <row r="3" spans="4:11" x14ac:dyDescent="0.3">
      <c r="D3" t="s">
        <v>93</v>
      </c>
      <c r="E3" t="s">
        <v>34</v>
      </c>
      <c r="I3" t="s">
        <v>93</v>
      </c>
      <c r="J3" t="s">
        <v>103</v>
      </c>
      <c r="K3" t="s">
        <v>104</v>
      </c>
    </row>
    <row r="4" spans="4:11" x14ac:dyDescent="0.3">
      <c r="D4" t="s">
        <v>94</v>
      </c>
      <c r="E4">
        <v>10</v>
      </c>
      <c r="I4" t="s">
        <v>94</v>
      </c>
    </row>
    <row r="5" spans="4:11" x14ac:dyDescent="0.3">
      <c r="D5" t="s">
        <v>95</v>
      </c>
      <c r="E5">
        <v>20</v>
      </c>
      <c r="I5" t="s">
        <v>95</v>
      </c>
      <c r="J5">
        <v>416</v>
      </c>
    </row>
    <row r="6" spans="4:11" x14ac:dyDescent="0.3">
      <c r="D6" t="s">
        <v>96</v>
      </c>
      <c r="E6">
        <v>30</v>
      </c>
      <c r="I6" t="s">
        <v>96</v>
      </c>
      <c r="J6">
        <v>514</v>
      </c>
    </row>
    <row r="7" spans="4:11" x14ac:dyDescent="0.3">
      <c r="D7" t="s">
        <v>97</v>
      </c>
      <c r="E7">
        <v>40</v>
      </c>
      <c r="I7" t="s">
        <v>97</v>
      </c>
    </row>
    <row r="8" spans="4:11" x14ac:dyDescent="0.3">
      <c r="D8" t="s">
        <v>98</v>
      </c>
      <c r="E8">
        <v>50</v>
      </c>
      <c r="I8" t="s">
        <v>98</v>
      </c>
    </row>
    <row r="9" spans="4:11" x14ac:dyDescent="0.3">
      <c r="D9" t="s">
        <v>99</v>
      </c>
      <c r="E9">
        <v>60</v>
      </c>
      <c r="I9" t="s">
        <v>99</v>
      </c>
    </row>
    <row r="10" spans="4:11" x14ac:dyDescent="0.3">
      <c r="D10" t="s">
        <v>100</v>
      </c>
      <c r="E10">
        <v>70</v>
      </c>
      <c r="I10" t="s">
        <v>100</v>
      </c>
    </row>
    <row r="11" spans="4:11" x14ac:dyDescent="0.3">
      <c r="D11" t="s">
        <v>101</v>
      </c>
      <c r="E11">
        <v>80</v>
      </c>
      <c r="I11" t="s">
        <v>101</v>
      </c>
    </row>
    <row r="12" spans="4:11" x14ac:dyDescent="0.3">
      <c r="D12" t="s">
        <v>102</v>
      </c>
      <c r="E12">
        <v>90</v>
      </c>
      <c r="I12" t="s">
        <v>102</v>
      </c>
    </row>
    <row r="13" spans="4:11" x14ac:dyDescent="0.3">
      <c r="E13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4:E8"/>
  <sheetViews>
    <sheetView workbookViewId="0">
      <selection activeCell="D8" sqref="D8"/>
    </sheetView>
  </sheetViews>
  <sheetFormatPr baseColWidth="10" defaultRowHeight="14.4" x14ac:dyDescent="0.3"/>
  <sheetData>
    <row r="4" spans="4:5" x14ac:dyDescent="0.3">
      <c r="D4" t="s">
        <v>94</v>
      </c>
      <c r="E4">
        <v>10</v>
      </c>
    </row>
    <row r="8" spans="4:5" x14ac:dyDescent="0.3">
      <c r="D8" t="s">
        <v>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Hoja3!$D$4:$D$12</xm:f>
          </x14:formula1>
          <xm:sqref>D2:D1048576</xm:sqref>
        </x14:dataValidation>
        <x14:dataValidation type="list" allowBlank="1" showInputMessage="1" showErrorMessage="1" xr:uid="{00000000-0002-0000-0A00-000001000000}">
          <x14:formula1>
            <xm:f>Hoja3!$E$4:$E$13</xm:f>
          </x14:formula1>
          <xm:sqref>E1:E1048576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F11" sqref="F11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61AD-C0E9-40D4-B839-8E30AF772EFE}">
  <dimension ref="D2:H14"/>
  <sheetViews>
    <sheetView workbookViewId="0">
      <selection activeCell="I11" sqref="I11"/>
    </sheetView>
  </sheetViews>
  <sheetFormatPr baseColWidth="10" defaultRowHeight="14.4" x14ac:dyDescent="0.3"/>
  <sheetData>
    <row r="2" spans="4:8" x14ac:dyDescent="0.3">
      <c r="D2" t="s">
        <v>81</v>
      </c>
      <c r="E2" s="6">
        <v>13120</v>
      </c>
      <c r="F2" s="45">
        <v>4430</v>
      </c>
      <c r="G2" s="6">
        <f>E2-F2</f>
        <v>8690</v>
      </c>
      <c r="H2" s="3">
        <f>G2/F2</f>
        <v>1.9616252821670428</v>
      </c>
    </row>
    <row r="3" spans="4:8" x14ac:dyDescent="0.3">
      <c r="D3" t="s">
        <v>82</v>
      </c>
      <c r="E3" s="6">
        <v>53200</v>
      </c>
      <c r="F3" s="45">
        <v>16520</v>
      </c>
      <c r="G3" s="6">
        <f t="shared" ref="G3:G12" si="0">E3-F3</f>
        <v>36680</v>
      </c>
      <c r="H3" s="3">
        <f t="shared" ref="H3:H12" si="1">G3/F3</f>
        <v>2.2203389830508473</v>
      </c>
    </row>
    <row r="4" spans="4:8" x14ac:dyDescent="0.3">
      <c r="D4" s="1" t="s">
        <v>83</v>
      </c>
      <c r="E4" s="6">
        <v>46965</v>
      </c>
      <c r="F4" s="45">
        <v>14770</v>
      </c>
      <c r="G4" s="6">
        <f t="shared" si="0"/>
        <v>32195</v>
      </c>
      <c r="H4" s="3">
        <f t="shared" si="1"/>
        <v>2.1797562626946512</v>
      </c>
    </row>
    <row r="5" spans="4:8" x14ac:dyDescent="0.3">
      <c r="D5" s="1" t="s">
        <v>84</v>
      </c>
      <c r="E5" s="6">
        <v>106804</v>
      </c>
      <c r="F5" s="45">
        <v>33270</v>
      </c>
      <c r="G5" s="6">
        <f t="shared" si="0"/>
        <v>73534</v>
      </c>
      <c r="H5" s="3">
        <f t="shared" si="1"/>
        <v>2.210219416892095</v>
      </c>
    </row>
    <row r="6" spans="4:8" x14ac:dyDescent="0.3">
      <c r="D6" s="1" t="s">
        <v>85</v>
      </c>
      <c r="E6" s="6">
        <v>251852</v>
      </c>
      <c r="F6" s="45">
        <v>80478.399999999994</v>
      </c>
      <c r="G6" s="6">
        <f t="shared" si="0"/>
        <v>171373.6</v>
      </c>
      <c r="H6" s="3">
        <f t="shared" si="1"/>
        <v>2.129435972882165</v>
      </c>
    </row>
    <row r="7" spans="4:8" x14ac:dyDescent="0.3">
      <c r="D7" s="1" t="s">
        <v>87</v>
      </c>
      <c r="E7" s="6">
        <v>220616</v>
      </c>
      <c r="F7" s="45">
        <v>69300.200000000012</v>
      </c>
      <c r="G7" s="6">
        <f t="shared" si="0"/>
        <v>151315.79999999999</v>
      </c>
      <c r="H7" s="3">
        <f t="shared" si="1"/>
        <v>2.1834828759512956</v>
      </c>
    </row>
    <row r="8" spans="4:8" x14ac:dyDescent="0.3">
      <c r="D8" s="1" t="s">
        <v>88</v>
      </c>
      <c r="E8" s="6">
        <v>164930</v>
      </c>
      <c r="F8" s="45">
        <v>51345</v>
      </c>
      <c r="G8" s="6">
        <f t="shared" si="0"/>
        <v>113585</v>
      </c>
      <c r="H8" s="3">
        <f t="shared" si="1"/>
        <v>2.212192034277924</v>
      </c>
    </row>
    <row r="9" spans="4:8" x14ac:dyDescent="0.3">
      <c r="D9" t="s">
        <v>91</v>
      </c>
      <c r="E9" s="45">
        <v>413364</v>
      </c>
      <c r="F9" s="45">
        <v>129395</v>
      </c>
      <c r="G9" s="6">
        <f t="shared" si="0"/>
        <v>283969</v>
      </c>
      <c r="H9" s="3">
        <f t="shared" si="1"/>
        <v>2.1945902082769813</v>
      </c>
    </row>
    <row r="10" spans="4:8" x14ac:dyDescent="0.3">
      <c r="D10" t="s">
        <v>111</v>
      </c>
      <c r="E10" s="45">
        <v>268036</v>
      </c>
      <c r="F10" s="45">
        <v>86625</v>
      </c>
      <c r="G10" s="6">
        <f t="shared" si="0"/>
        <v>181411</v>
      </c>
      <c r="H10" s="3">
        <f t="shared" si="1"/>
        <v>2.0942106782106782</v>
      </c>
    </row>
    <row r="11" spans="4:8" x14ac:dyDescent="0.3">
      <c r="D11" t="s">
        <v>114</v>
      </c>
      <c r="E11" s="45">
        <v>344038</v>
      </c>
      <c r="F11" s="45">
        <v>116583.5</v>
      </c>
      <c r="G11" s="6">
        <f t="shared" si="0"/>
        <v>227454.5</v>
      </c>
      <c r="H11" s="3">
        <f t="shared" si="1"/>
        <v>1.9510007848451969</v>
      </c>
    </row>
    <row r="12" spans="4:8" x14ac:dyDescent="0.3">
      <c r="D12" t="s">
        <v>138</v>
      </c>
      <c r="E12" s="45">
        <v>501434</v>
      </c>
      <c r="F12" s="45">
        <v>168262</v>
      </c>
      <c r="G12" s="6">
        <f t="shared" si="0"/>
        <v>333172</v>
      </c>
      <c r="H12" s="3">
        <f t="shared" si="1"/>
        <v>1.9800786868098561</v>
      </c>
    </row>
    <row r="13" spans="4:8" x14ac:dyDescent="0.3">
      <c r="D13" t="s">
        <v>143</v>
      </c>
      <c r="E13" s="45">
        <v>342208</v>
      </c>
      <c r="F13" s="45"/>
    </row>
    <row r="14" spans="4:8" x14ac:dyDescent="0.3">
      <c r="H14" s="3">
        <f>AVERAGE(H2:H12)</f>
        <v>2.1197210169144305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2"/>
  <sheetViews>
    <sheetView workbookViewId="0">
      <pane ySplit="9" topLeftCell="A123" activePane="bottomLeft" state="frozen"/>
      <selection activeCell="D1" sqref="D1"/>
      <selection pane="bottomLeft" activeCell="G3" sqref="G3"/>
    </sheetView>
  </sheetViews>
  <sheetFormatPr baseColWidth="10" defaultRowHeight="14.4" x14ac:dyDescent="0.3"/>
  <cols>
    <col min="7" max="7" width="15" style="7" bestFit="1" customWidth="1"/>
    <col min="8" max="8" width="14.5546875" bestFit="1" customWidth="1"/>
    <col min="9" max="9" width="12" bestFit="1" customWidth="1"/>
    <col min="10" max="10" width="13.109375" bestFit="1" customWidth="1"/>
    <col min="11" max="11" width="12" style="3" bestFit="1" customWidth="1"/>
    <col min="15" max="15" width="12.5546875" bestFit="1" customWidth="1"/>
  </cols>
  <sheetData>
    <row r="1" spans="1:17" x14ac:dyDescent="0.3">
      <c r="A1" s="1" t="s">
        <v>3</v>
      </c>
      <c r="B1" s="7">
        <v>187.34</v>
      </c>
      <c r="H1" t="s">
        <v>33</v>
      </c>
      <c r="J1" t="s">
        <v>81</v>
      </c>
      <c r="K1" s="6">
        <f>SUM(G9:G10)</f>
        <v>13120</v>
      </c>
      <c r="L1" s="6">
        <f>SUM(I9:I10)</f>
        <v>4430</v>
      </c>
      <c r="M1" t="s">
        <v>91</v>
      </c>
      <c r="N1" s="6">
        <f>SUM(G108:G145)</f>
        <v>413364</v>
      </c>
      <c r="O1" s="6">
        <f>SUM(I108:I145)</f>
        <v>129395</v>
      </c>
      <c r="P1" s="31" t="s">
        <v>116</v>
      </c>
      <c r="Q1" s="50">
        <v>80.17</v>
      </c>
    </row>
    <row r="2" spans="1:17" x14ac:dyDescent="0.3">
      <c r="A2" s="1" t="s">
        <v>2</v>
      </c>
      <c r="B2" s="7">
        <v>294.10000000000002</v>
      </c>
      <c r="C2" s="1" t="s">
        <v>29</v>
      </c>
      <c r="D2" s="10">
        <v>99</v>
      </c>
      <c r="E2" s="7">
        <v>304</v>
      </c>
      <c r="F2" s="7" t="s">
        <v>31</v>
      </c>
      <c r="G2" s="7">
        <v>90000</v>
      </c>
      <c r="H2" s="12">
        <f>G3/I4-1</f>
        <v>1.2422407541405045</v>
      </c>
      <c r="J2" t="s">
        <v>82</v>
      </c>
      <c r="K2" s="6">
        <f>SUM(G11:G14)</f>
        <v>53200</v>
      </c>
      <c r="L2" s="6">
        <f>SUM(I11:I14)</f>
        <v>16520</v>
      </c>
      <c r="M2" s="1" t="s">
        <v>111</v>
      </c>
      <c r="N2" s="6">
        <f>SUM(G146:G176)</f>
        <v>268036</v>
      </c>
      <c r="O2" s="6">
        <f>SUM(I146:I176)</f>
        <v>86625</v>
      </c>
      <c r="P2" s="31" t="s">
        <v>117</v>
      </c>
      <c r="Q2" s="50">
        <v>95.12</v>
      </c>
    </row>
    <row r="3" spans="1:17" x14ac:dyDescent="0.3">
      <c r="A3" s="1" t="s">
        <v>51</v>
      </c>
      <c r="B3" s="7">
        <v>328</v>
      </c>
      <c r="C3" s="1" t="s">
        <v>3</v>
      </c>
      <c r="D3" s="10">
        <v>197</v>
      </c>
      <c r="E3" s="7">
        <v>562</v>
      </c>
      <c r="F3" s="7" t="s">
        <v>32</v>
      </c>
      <c r="G3" s="7">
        <f>SUM(G9:G374)</f>
        <v>2785807</v>
      </c>
      <c r="I3" s="13" t="s">
        <v>137</v>
      </c>
      <c r="J3" s="1" t="s">
        <v>83</v>
      </c>
      <c r="K3" s="6">
        <f>SUM(G15:G20)</f>
        <v>46965</v>
      </c>
      <c r="L3" s="31">
        <f>SUM(I15:I20)</f>
        <v>14770</v>
      </c>
      <c r="M3" t="s">
        <v>114</v>
      </c>
      <c r="N3" s="6">
        <f>SUM(G177:G232)</f>
        <v>344038</v>
      </c>
      <c r="O3" s="6">
        <f>SUM(I177:I232)</f>
        <v>116583.5</v>
      </c>
      <c r="P3" s="31" t="s">
        <v>118</v>
      </c>
      <c r="Q3" s="50">
        <v>71.92</v>
      </c>
    </row>
    <row r="4" spans="1:17" x14ac:dyDescent="0.3">
      <c r="A4" s="1" t="s">
        <v>52</v>
      </c>
      <c r="B4" s="7">
        <v>469</v>
      </c>
      <c r="C4" s="1" t="s">
        <v>22</v>
      </c>
      <c r="D4" s="10">
        <v>126</v>
      </c>
      <c r="E4" s="7">
        <v>407</v>
      </c>
      <c r="F4" s="7" t="s">
        <v>49</v>
      </c>
      <c r="G4" s="6">
        <f>SUM(J9:J305)</f>
        <v>1618001.9</v>
      </c>
      <c r="H4" s="3">
        <f>G4/G5</f>
        <v>2.0919577249197769</v>
      </c>
      <c r="I4" s="7">
        <f>'compras realizadas'!F2</f>
        <v>1242421</v>
      </c>
      <c r="J4" s="1" t="s">
        <v>84</v>
      </c>
      <c r="K4" s="6">
        <f>SUM(G21:G34)</f>
        <v>106804</v>
      </c>
      <c r="L4" s="7">
        <f>SUM(I21:I34)</f>
        <v>33270</v>
      </c>
      <c r="M4" t="s">
        <v>138</v>
      </c>
      <c r="N4" s="6">
        <f>SUM(G233:G293)</f>
        <v>501434</v>
      </c>
      <c r="O4" s="45">
        <f>SUM(I233:I293)</f>
        <v>168262</v>
      </c>
      <c r="P4" s="31" t="s">
        <v>119</v>
      </c>
      <c r="Q4" s="50">
        <v>82.11</v>
      </c>
    </row>
    <row r="5" spans="1:17" x14ac:dyDescent="0.3">
      <c r="A5" s="1" t="s">
        <v>53</v>
      </c>
      <c r="B5" s="7">
        <v>500</v>
      </c>
      <c r="C5" s="1" t="s">
        <v>2</v>
      </c>
      <c r="D5" s="10">
        <v>246</v>
      </c>
      <c r="E5" s="7">
        <v>665</v>
      </c>
      <c r="F5" s="7" t="s">
        <v>50</v>
      </c>
      <c r="G5" s="6">
        <f>SUM(I9:I394)</f>
        <v>773439.1</v>
      </c>
      <c r="I5" s="6">
        <f>I4-G5</f>
        <v>468981.9</v>
      </c>
      <c r="J5" s="1" t="s">
        <v>85</v>
      </c>
      <c r="K5" s="6">
        <f>SUM(G35:G62)</f>
        <v>251852</v>
      </c>
      <c r="L5" s="31">
        <f>SUM(I35:I62)</f>
        <v>80478.399999999994</v>
      </c>
      <c r="M5" t="s">
        <v>143</v>
      </c>
      <c r="N5" s="6">
        <f>SUM(G294:G338)</f>
        <v>342208</v>
      </c>
      <c r="O5" s="6"/>
      <c r="P5" s="31" t="s">
        <v>122</v>
      </c>
      <c r="Q5" s="50">
        <v>13.413333333333334</v>
      </c>
    </row>
    <row r="6" spans="1:17" x14ac:dyDescent="0.3">
      <c r="A6" s="1" t="s">
        <v>112</v>
      </c>
      <c r="B6" s="7">
        <v>48</v>
      </c>
      <c r="C6" s="1" t="s">
        <v>30</v>
      </c>
      <c r="D6" s="10">
        <v>157</v>
      </c>
      <c r="E6" s="7">
        <v>519</v>
      </c>
      <c r="F6" s="7" t="s">
        <v>110</v>
      </c>
      <c r="G6" s="7">
        <f>INVENTARIO!F26</f>
        <v>1208650</v>
      </c>
      <c r="I6" s="6">
        <f>G7-I4</f>
        <v>2752036</v>
      </c>
      <c r="J6" s="1" t="s">
        <v>87</v>
      </c>
      <c r="K6" s="6">
        <f>SUM(G63:G85)</f>
        <v>220616</v>
      </c>
      <c r="L6" s="31">
        <f>SUM(I63:I85)</f>
        <v>69300.200000000012</v>
      </c>
      <c r="P6" s="49">
        <v>555</v>
      </c>
      <c r="Q6" s="50">
        <v>44.85</v>
      </c>
    </row>
    <row r="7" spans="1:17" x14ac:dyDescent="0.3">
      <c r="A7" s="1" t="s">
        <v>113</v>
      </c>
      <c r="B7" s="7">
        <v>70</v>
      </c>
      <c r="C7" s="1" t="s">
        <v>23</v>
      </c>
      <c r="D7" s="10">
        <v>220</v>
      </c>
      <c r="E7" s="7">
        <v>665</v>
      </c>
      <c r="F7" s="7"/>
      <c r="G7" s="6">
        <f>G3+G6</f>
        <v>3994457</v>
      </c>
      <c r="J7" s="1" t="s">
        <v>88</v>
      </c>
      <c r="K7" s="6">
        <f>SUM(G86:G107)</f>
        <v>164930</v>
      </c>
      <c r="L7" s="31">
        <f>SUM(I87:I107)</f>
        <v>51345</v>
      </c>
      <c r="P7" s="31" t="s">
        <v>123</v>
      </c>
      <c r="Q7" s="51">
        <v>219.98</v>
      </c>
    </row>
    <row r="8" spans="1:17" x14ac:dyDescent="0.3">
      <c r="C8">
        <v>4</v>
      </c>
      <c r="D8" s="10">
        <v>135</v>
      </c>
      <c r="H8" s="8" t="s">
        <v>34</v>
      </c>
      <c r="I8" t="s">
        <v>35</v>
      </c>
      <c r="J8" t="s">
        <v>0</v>
      </c>
      <c r="P8" s="6" t="s">
        <v>142</v>
      </c>
      <c r="Q8" s="45">
        <v>2781</v>
      </c>
    </row>
    <row r="9" spans="1:17" x14ac:dyDescent="0.3">
      <c r="E9" s="26">
        <v>44216</v>
      </c>
      <c r="F9" s="26" t="s">
        <v>99</v>
      </c>
      <c r="G9" s="21">
        <v>7500</v>
      </c>
      <c r="H9" s="22">
        <v>10</v>
      </c>
      <c r="I9" s="21">
        <f>H9*D5</f>
        <v>2460</v>
      </c>
      <c r="J9" s="21">
        <f t="shared" ref="J9:J14" si="0">G9-I9</f>
        <v>5040</v>
      </c>
      <c r="K9" s="23">
        <f>J9/I9</f>
        <v>2.0487804878048781</v>
      </c>
      <c r="P9" s="6"/>
    </row>
    <row r="10" spans="1:17" x14ac:dyDescent="0.3">
      <c r="D10">
        <v>2</v>
      </c>
      <c r="E10" s="26">
        <v>44222</v>
      </c>
      <c r="F10" s="26" t="s">
        <v>98</v>
      </c>
      <c r="G10" s="21">
        <f>H10*E3</f>
        <v>5620</v>
      </c>
      <c r="H10" s="22">
        <v>10</v>
      </c>
      <c r="I10" s="21">
        <f>H10*D3</f>
        <v>1970</v>
      </c>
      <c r="J10" s="21">
        <f t="shared" si="0"/>
        <v>3650</v>
      </c>
      <c r="K10" s="23">
        <f t="shared" ref="K10:K40" si="1">J10/I10</f>
        <v>1.8527918781725887</v>
      </c>
      <c r="M10" s="1"/>
    </row>
    <row r="11" spans="1:17" x14ac:dyDescent="0.3">
      <c r="D11">
        <v>3</v>
      </c>
      <c r="E11" s="25">
        <v>44235</v>
      </c>
      <c r="F11" s="25" t="s">
        <v>98</v>
      </c>
      <c r="G11" s="21">
        <v>6500</v>
      </c>
      <c r="H11" s="22">
        <v>10</v>
      </c>
      <c r="I11" s="21">
        <f>H11*D3</f>
        <v>1970</v>
      </c>
      <c r="J11" s="21">
        <f t="shared" si="0"/>
        <v>4530</v>
      </c>
      <c r="K11" s="23">
        <f t="shared" si="1"/>
        <v>2.2994923857868019</v>
      </c>
      <c r="M11" s="1"/>
    </row>
    <row r="12" spans="1:17" x14ac:dyDescent="0.3">
      <c r="D12">
        <v>4</v>
      </c>
      <c r="E12" s="25">
        <v>44242</v>
      </c>
      <c r="F12" s="25" t="s">
        <v>99</v>
      </c>
      <c r="G12" s="21">
        <v>7500</v>
      </c>
      <c r="H12" s="22">
        <v>10</v>
      </c>
      <c r="I12" s="21">
        <f>D5*H12</f>
        <v>2460</v>
      </c>
      <c r="J12" s="21">
        <f t="shared" si="0"/>
        <v>5040</v>
      </c>
      <c r="K12" s="23">
        <f t="shared" si="1"/>
        <v>2.0487804878048781</v>
      </c>
      <c r="M12" s="1"/>
    </row>
    <row r="13" spans="1:17" x14ac:dyDescent="0.3">
      <c r="C13" s="1"/>
      <c r="D13">
        <v>5</v>
      </c>
      <c r="E13" s="25">
        <v>44247</v>
      </c>
      <c r="F13" s="25" t="s">
        <v>99</v>
      </c>
      <c r="G13" s="21">
        <v>20600</v>
      </c>
      <c r="H13" s="22">
        <v>30</v>
      </c>
      <c r="I13" s="21">
        <f>D5*H13</f>
        <v>7380</v>
      </c>
      <c r="J13" s="21">
        <f t="shared" si="0"/>
        <v>13220</v>
      </c>
      <c r="K13" s="23">
        <f t="shared" si="1"/>
        <v>1.7913279132791329</v>
      </c>
      <c r="M13" s="1"/>
    </row>
    <row r="14" spans="1:17" x14ac:dyDescent="0.3">
      <c r="B14">
        <f>67427/150</f>
        <v>449.51333333333332</v>
      </c>
      <c r="C14" s="1"/>
      <c r="D14">
        <v>6</v>
      </c>
      <c r="E14" s="25">
        <v>44247</v>
      </c>
      <c r="F14" s="25" t="s">
        <v>96</v>
      </c>
      <c r="G14" s="21">
        <v>18600</v>
      </c>
      <c r="H14" s="22">
        <v>30</v>
      </c>
      <c r="I14" s="21">
        <f>D6*H14</f>
        <v>4710</v>
      </c>
      <c r="J14" s="21">
        <f t="shared" si="0"/>
        <v>13890</v>
      </c>
      <c r="K14" s="23">
        <f t="shared" si="1"/>
        <v>2.9490445859872612</v>
      </c>
      <c r="M14" s="1"/>
    </row>
    <row r="15" spans="1:17" x14ac:dyDescent="0.3">
      <c r="C15" s="1"/>
      <c r="D15">
        <v>7</v>
      </c>
      <c r="E15" s="25">
        <v>44262</v>
      </c>
      <c r="F15" s="25" t="s">
        <v>98</v>
      </c>
      <c r="G15" s="21">
        <v>6499</v>
      </c>
      <c r="H15" s="22">
        <v>10</v>
      </c>
      <c r="I15" s="21">
        <f>H15*D3</f>
        <v>1970</v>
      </c>
      <c r="J15" s="21">
        <f t="shared" ref="J15:J20" si="2">G15-I15</f>
        <v>4529</v>
      </c>
      <c r="K15" s="23">
        <f t="shared" si="1"/>
        <v>2.298984771573604</v>
      </c>
      <c r="M15" s="1"/>
    </row>
    <row r="16" spans="1:17" x14ac:dyDescent="0.3">
      <c r="C16" s="10"/>
      <c r="D16">
        <v>8</v>
      </c>
      <c r="E16" s="25">
        <v>44271</v>
      </c>
      <c r="F16" s="25"/>
      <c r="G16" s="21">
        <v>6499</v>
      </c>
      <c r="H16" s="22">
        <v>10</v>
      </c>
      <c r="I16" s="21">
        <f>H16*D3</f>
        <v>1970</v>
      </c>
      <c r="J16" s="21">
        <f t="shared" si="2"/>
        <v>4529</v>
      </c>
      <c r="K16" s="23">
        <f t="shared" si="1"/>
        <v>2.298984771573604</v>
      </c>
      <c r="M16" s="1"/>
    </row>
    <row r="17" spans="2:11" x14ac:dyDescent="0.3">
      <c r="C17" s="10"/>
      <c r="D17">
        <v>9</v>
      </c>
      <c r="E17" s="25">
        <v>44280</v>
      </c>
      <c r="F17" s="25"/>
      <c r="G17" s="21">
        <v>7254</v>
      </c>
      <c r="H17" s="22">
        <v>10</v>
      </c>
      <c r="I17" s="21">
        <f>H17*D5</f>
        <v>2460</v>
      </c>
      <c r="J17" s="21">
        <f t="shared" si="2"/>
        <v>4794</v>
      </c>
      <c r="K17" s="23">
        <f t="shared" si="1"/>
        <v>1.948780487804878</v>
      </c>
    </row>
    <row r="18" spans="2:11" x14ac:dyDescent="0.3">
      <c r="C18" s="10"/>
      <c r="D18">
        <v>10</v>
      </c>
      <c r="E18" s="25">
        <v>44284</v>
      </c>
      <c r="F18" s="25"/>
      <c r="G18" s="21">
        <v>6499</v>
      </c>
      <c r="H18" s="22">
        <v>10</v>
      </c>
      <c r="I18" s="21">
        <f>H18*D3</f>
        <v>1970</v>
      </c>
      <c r="J18" s="21">
        <f t="shared" si="2"/>
        <v>4529</v>
      </c>
      <c r="K18" s="23">
        <f t="shared" si="1"/>
        <v>2.298984771573604</v>
      </c>
    </row>
    <row r="19" spans="2:11" x14ac:dyDescent="0.3">
      <c r="C19" s="10"/>
      <c r="D19">
        <v>11</v>
      </c>
      <c r="E19" s="25">
        <v>44284</v>
      </c>
      <c r="F19" s="25"/>
      <c r="G19" s="21">
        <v>7254</v>
      </c>
      <c r="H19" s="22">
        <v>10</v>
      </c>
      <c r="I19" s="21">
        <f>H19*D5</f>
        <v>2460</v>
      </c>
      <c r="J19" s="21">
        <f t="shared" si="2"/>
        <v>4794</v>
      </c>
      <c r="K19" s="23">
        <f t="shared" si="1"/>
        <v>1.948780487804878</v>
      </c>
    </row>
    <row r="20" spans="2:11" x14ac:dyDescent="0.3">
      <c r="C20" s="10"/>
      <c r="D20">
        <v>12</v>
      </c>
      <c r="E20" s="25">
        <v>44285</v>
      </c>
      <c r="F20" s="25"/>
      <c r="G20" s="21">
        <v>12960</v>
      </c>
      <c r="H20" s="22">
        <v>20</v>
      </c>
      <c r="I20" s="21">
        <f>H20*D3</f>
        <v>3940</v>
      </c>
      <c r="J20" s="21">
        <f t="shared" si="2"/>
        <v>9020</v>
      </c>
      <c r="K20" s="23">
        <f t="shared" si="1"/>
        <v>2.2893401015228427</v>
      </c>
    </row>
    <row r="21" spans="2:11" x14ac:dyDescent="0.3">
      <c r="B21" s="6"/>
      <c r="D21">
        <v>13</v>
      </c>
      <c r="E21" s="25">
        <v>44289</v>
      </c>
      <c r="F21" s="25"/>
      <c r="G21" s="21">
        <v>7770</v>
      </c>
      <c r="H21" s="22">
        <v>10</v>
      </c>
      <c r="I21" s="21">
        <f>H21*D5</f>
        <v>2460</v>
      </c>
      <c r="J21" s="21">
        <f t="shared" ref="J21:J27" si="3">G21-I21</f>
        <v>5310</v>
      </c>
      <c r="K21" s="23">
        <f t="shared" si="1"/>
        <v>2.1585365853658538</v>
      </c>
    </row>
    <row r="22" spans="2:11" x14ac:dyDescent="0.3">
      <c r="D22">
        <v>14</v>
      </c>
      <c r="E22" s="25">
        <v>44289</v>
      </c>
      <c r="F22" s="25"/>
      <c r="G22" s="21">
        <v>6480</v>
      </c>
      <c r="H22" s="22">
        <v>10</v>
      </c>
      <c r="I22" s="21">
        <f>H22*D3</f>
        <v>1970</v>
      </c>
      <c r="J22" s="21">
        <f t="shared" si="3"/>
        <v>4510</v>
      </c>
      <c r="K22" s="23">
        <f t="shared" si="1"/>
        <v>2.2893401015228427</v>
      </c>
    </row>
    <row r="23" spans="2:11" x14ac:dyDescent="0.3">
      <c r="D23">
        <v>15</v>
      </c>
      <c r="E23" s="25">
        <v>44289</v>
      </c>
      <c r="F23" s="25"/>
      <c r="G23" s="21">
        <v>6480</v>
      </c>
      <c r="H23" s="22">
        <v>10</v>
      </c>
      <c r="I23" s="21">
        <f>H23*D3</f>
        <v>1970</v>
      </c>
      <c r="J23" s="21">
        <f t="shared" si="3"/>
        <v>4510</v>
      </c>
      <c r="K23" s="23">
        <f t="shared" si="1"/>
        <v>2.2893401015228427</v>
      </c>
    </row>
    <row r="24" spans="2:11" x14ac:dyDescent="0.3">
      <c r="D24">
        <v>16</v>
      </c>
      <c r="E24" s="25">
        <v>44295</v>
      </c>
      <c r="F24" s="25"/>
      <c r="G24" s="21">
        <v>7770</v>
      </c>
      <c r="H24" s="22">
        <v>10</v>
      </c>
      <c r="I24" s="21">
        <f>H24*D5</f>
        <v>2460</v>
      </c>
      <c r="J24" s="21">
        <f t="shared" si="3"/>
        <v>5310</v>
      </c>
      <c r="K24" s="23">
        <f t="shared" si="1"/>
        <v>2.1585365853658538</v>
      </c>
    </row>
    <row r="25" spans="2:11" x14ac:dyDescent="0.3">
      <c r="D25">
        <v>17</v>
      </c>
      <c r="E25" s="25">
        <v>44299</v>
      </c>
      <c r="F25" s="25"/>
      <c r="G25" s="21">
        <v>5190</v>
      </c>
      <c r="H25" s="22">
        <v>10</v>
      </c>
      <c r="I25" s="21">
        <f>H25*D6</f>
        <v>1570</v>
      </c>
      <c r="J25" s="21">
        <f t="shared" si="3"/>
        <v>3620</v>
      </c>
      <c r="K25" s="23">
        <f t="shared" si="1"/>
        <v>2.3057324840764331</v>
      </c>
    </row>
    <row r="26" spans="2:11" x14ac:dyDescent="0.3">
      <c r="D26">
        <v>18</v>
      </c>
      <c r="E26" s="25">
        <v>44301</v>
      </c>
      <c r="F26" s="25"/>
      <c r="G26" s="21">
        <v>3771</v>
      </c>
      <c r="H26" s="22">
        <v>5</v>
      </c>
      <c r="I26" s="21">
        <f>H26*D5</f>
        <v>1230</v>
      </c>
      <c r="J26" s="21">
        <f t="shared" si="3"/>
        <v>2541</v>
      </c>
      <c r="K26" s="32">
        <f t="shared" si="1"/>
        <v>2.0658536585365854</v>
      </c>
    </row>
    <row r="27" spans="2:11" x14ac:dyDescent="0.3">
      <c r="D27">
        <v>19</v>
      </c>
      <c r="E27" s="25">
        <v>44305</v>
      </c>
      <c r="F27" s="25"/>
      <c r="G27" s="21">
        <v>8000</v>
      </c>
      <c r="H27" s="22">
        <v>20</v>
      </c>
      <c r="I27" s="21">
        <f>H27*D4</f>
        <v>2520</v>
      </c>
      <c r="J27" s="21">
        <f t="shared" si="3"/>
        <v>5480</v>
      </c>
      <c r="K27" s="23">
        <f t="shared" si="1"/>
        <v>2.1746031746031744</v>
      </c>
    </row>
    <row r="28" spans="2:11" x14ac:dyDescent="0.3">
      <c r="D28">
        <v>20</v>
      </c>
      <c r="E28" s="25">
        <v>44306</v>
      </c>
      <c r="F28" s="25"/>
      <c r="G28" s="21">
        <v>8028</v>
      </c>
      <c r="H28" s="22">
        <v>10</v>
      </c>
      <c r="I28" s="21">
        <f>H28*D7</f>
        <v>2200</v>
      </c>
      <c r="J28" s="21">
        <f t="shared" ref="J28:J34" si="4">G28-I28</f>
        <v>5828</v>
      </c>
      <c r="K28" s="23">
        <f t="shared" si="1"/>
        <v>2.6490909090909089</v>
      </c>
    </row>
    <row r="29" spans="2:11" x14ac:dyDescent="0.3">
      <c r="D29">
        <v>21</v>
      </c>
      <c r="E29" s="25">
        <v>44311</v>
      </c>
      <c r="F29" s="25"/>
      <c r="G29" s="21">
        <v>7542</v>
      </c>
      <c r="H29" s="22">
        <v>10</v>
      </c>
      <c r="I29" s="21">
        <f>H29*D5</f>
        <v>2460</v>
      </c>
      <c r="J29" s="21">
        <f t="shared" si="4"/>
        <v>5082</v>
      </c>
      <c r="K29" s="42">
        <f t="shared" si="1"/>
        <v>2.0658536585365854</v>
      </c>
    </row>
    <row r="30" spans="2:11" x14ac:dyDescent="0.3">
      <c r="D30">
        <v>22</v>
      </c>
      <c r="E30" s="25">
        <v>44312</v>
      </c>
      <c r="F30" s="25"/>
      <c r="G30" s="21">
        <v>8000</v>
      </c>
      <c r="H30" s="22">
        <v>20</v>
      </c>
      <c r="I30" s="21">
        <f>H30*D4</f>
        <v>2520</v>
      </c>
      <c r="J30" s="21">
        <f t="shared" si="4"/>
        <v>5480</v>
      </c>
      <c r="K30" s="23">
        <f t="shared" si="1"/>
        <v>2.1746031746031744</v>
      </c>
    </row>
    <row r="31" spans="2:11" x14ac:dyDescent="0.3">
      <c r="D31">
        <v>23</v>
      </c>
      <c r="E31" s="25">
        <v>44312</v>
      </c>
      <c r="F31" s="25"/>
      <c r="G31" s="21">
        <v>3000</v>
      </c>
      <c r="H31" s="22">
        <v>10</v>
      </c>
      <c r="I31" s="21">
        <f>H31*D2</f>
        <v>990</v>
      </c>
      <c r="J31" s="21">
        <f t="shared" si="4"/>
        <v>2010</v>
      </c>
      <c r="K31" s="23">
        <f t="shared" si="1"/>
        <v>2.0303030303030303</v>
      </c>
    </row>
    <row r="32" spans="2:11" x14ac:dyDescent="0.3">
      <c r="D32">
        <v>24</v>
      </c>
      <c r="E32" s="25">
        <v>44315</v>
      </c>
      <c r="F32" s="25"/>
      <c r="G32" s="21">
        <v>7800</v>
      </c>
      <c r="H32" s="22">
        <v>20</v>
      </c>
      <c r="I32" s="21">
        <f>H32*D4</f>
        <v>2520</v>
      </c>
      <c r="J32" s="21">
        <f t="shared" si="4"/>
        <v>5280</v>
      </c>
      <c r="K32" s="23">
        <f t="shared" si="1"/>
        <v>2.0952380952380953</v>
      </c>
    </row>
    <row r="33" spans="4:11" x14ac:dyDescent="0.3">
      <c r="D33">
        <v>25</v>
      </c>
      <c r="E33" s="25">
        <v>44315</v>
      </c>
      <c r="F33" s="25"/>
      <c r="G33" s="21">
        <v>11313</v>
      </c>
      <c r="H33" s="22">
        <v>15</v>
      </c>
      <c r="I33" s="21">
        <f>H33*D5</f>
        <v>3690</v>
      </c>
      <c r="J33" s="21">
        <f t="shared" si="4"/>
        <v>7623</v>
      </c>
      <c r="K33" s="42">
        <f t="shared" si="1"/>
        <v>2.0658536585365854</v>
      </c>
    </row>
    <row r="34" spans="4:11" x14ac:dyDescent="0.3">
      <c r="D34">
        <v>26</v>
      </c>
      <c r="E34" s="25">
        <v>44315</v>
      </c>
      <c r="F34" s="25"/>
      <c r="G34" s="21">
        <v>15660</v>
      </c>
      <c r="H34" s="22">
        <v>30</v>
      </c>
      <c r="I34" s="21">
        <f>H34*D6</f>
        <v>4710</v>
      </c>
      <c r="J34" s="21">
        <f t="shared" si="4"/>
        <v>10950</v>
      </c>
      <c r="K34" s="23">
        <f t="shared" si="1"/>
        <v>2.3248407643312103</v>
      </c>
    </row>
    <row r="35" spans="4:11" x14ac:dyDescent="0.3">
      <c r="D35">
        <v>27</v>
      </c>
      <c r="E35" s="25">
        <v>44318</v>
      </c>
      <c r="F35" s="25"/>
      <c r="G35" s="21">
        <v>5190</v>
      </c>
      <c r="H35" s="22">
        <v>10</v>
      </c>
      <c r="I35" s="21">
        <f>H35*D6</f>
        <v>1570</v>
      </c>
      <c r="J35" s="21">
        <f t="shared" ref="J35:J40" si="5">G35-I35</f>
        <v>3620</v>
      </c>
      <c r="K35" s="23">
        <f t="shared" si="1"/>
        <v>2.3057324840764331</v>
      </c>
    </row>
    <row r="36" spans="4:11" x14ac:dyDescent="0.3">
      <c r="D36">
        <v>28</v>
      </c>
      <c r="E36" s="25">
        <v>44319</v>
      </c>
      <c r="F36" s="25"/>
      <c r="G36" s="21">
        <v>29360</v>
      </c>
      <c r="H36" s="22">
        <v>20</v>
      </c>
      <c r="I36" s="21">
        <f>H36*B5</f>
        <v>10000</v>
      </c>
      <c r="J36" s="21">
        <f t="shared" si="5"/>
        <v>19360</v>
      </c>
      <c r="K36" s="23">
        <f t="shared" si="1"/>
        <v>1.9359999999999999</v>
      </c>
    </row>
    <row r="37" spans="4:11" x14ac:dyDescent="0.3">
      <c r="D37">
        <v>29</v>
      </c>
      <c r="E37" s="25">
        <v>44319</v>
      </c>
      <c r="F37" s="25"/>
      <c r="G37" s="21">
        <v>7800</v>
      </c>
      <c r="H37" s="22">
        <v>20</v>
      </c>
      <c r="I37" s="21">
        <f>H37*D4</f>
        <v>2520</v>
      </c>
      <c r="J37" s="21">
        <f t="shared" si="5"/>
        <v>5280</v>
      </c>
      <c r="K37" s="23">
        <f t="shared" si="1"/>
        <v>2.0952380952380953</v>
      </c>
    </row>
    <row r="38" spans="4:11" x14ac:dyDescent="0.3">
      <c r="D38">
        <v>30</v>
      </c>
      <c r="E38" s="25">
        <v>44320</v>
      </c>
      <c r="F38" s="25"/>
      <c r="G38" s="21">
        <v>3040</v>
      </c>
      <c r="H38" s="22">
        <v>10</v>
      </c>
      <c r="I38" s="21">
        <f>H38*D2</f>
        <v>990</v>
      </c>
      <c r="J38" s="21">
        <f t="shared" si="5"/>
        <v>2050</v>
      </c>
      <c r="K38" s="23">
        <f t="shared" si="1"/>
        <v>2.0707070707070705</v>
      </c>
    </row>
    <row r="39" spans="4:11" x14ac:dyDescent="0.3">
      <c r="D39">
        <v>31</v>
      </c>
      <c r="E39" s="25">
        <v>44321</v>
      </c>
      <c r="F39" s="25"/>
      <c r="G39" s="21">
        <v>8200</v>
      </c>
      <c r="H39" s="22">
        <v>5</v>
      </c>
      <c r="I39" s="21">
        <f>H39*B4</f>
        <v>2345</v>
      </c>
      <c r="J39" s="21">
        <f t="shared" si="5"/>
        <v>5855</v>
      </c>
      <c r="K39" s="23">
        <f t="shared" si="1"/>
        <v>2.4968017057569298</v>
      </c>
    </row>
    <row r="40" spans="4:11" x14ac:dyDescent="0.3">
      <c r="D40">
        <v>32</v>
      </c>
      <c r="E40" s="25">
        <v>44332</v>
      </c>
      <c r="F40" s="25"/>
      <c r="G40" s="21">
        <f>9000-1660</f>
        <v>7340</v>
      </c>
      <c r="H40" s="24">
        <v>5</v>
      </c>
      <c r="I40" s="21">
        <f>H40*B5</f>
        <v>2500</v>
      </c>
      <c r="J40" s="21">
        <f t="shared" si="5"/>
        <v>4840</v>
      </c>
      <c r="K40" s="23">
        <f t="shared" si="1"/>
        <v>1.9359999999999999</v>
      </c>
    </row>
    <row r="41" spans="4:11" x14ac:dyDescent="0.3">
      <c r="D41">
        <v>33</v>
      </c>
      <c r="E41" s="25">
        <v>44332</v>
      </c>
      <c r="F41" s="25"/>
      <c r="G41" s="21">
        <f>8000-1240</f>
        <v>6760</v>
      </c>
      <c r="H41" s="24">
        <v>10</v>
      </c>
      <c r="I41" s="21">
        <f>H41*D7</f>
        <v>2200</v>
      </c>
      <c r="J41" s="21">
        <f>G41-I41</f>
        <v>4560</v>
      </c>
      <c r="K41" s="23">
        <f>J41/I41</f>
        <v>2.0727272727272728</v>
      </c>
    </row>
    <row r="42" spans="4:11" x14ac:dyDescent="0.3">
      <c r="D42">
        <v>34</v>
      </c>
      <c r="E42" s="25">
        <v>44332</v>
      </c>
      <c r="F42" s="25"/>
      <c r="G42" s="21">
        <f>6000-1520</f>
        <v>4480</v>
      </c>
      <c r="H42" s="24">
        <v>10</v>
      </c>
      <c r="I42" s="21">
        <f>H42*D6</f>
        <v>1570</v>
      </c>
      <c r="J42" s="21">
        <f>G42-I42</f>
        <v>2910</v>
      </c>
      <c r="K42" s="23">
        <f>J42/I42</f>
        <v>1.8535031847133758</v>
      </c>
    </row>
    <row r="43" spans="4:11" x14ac:dyDescent="0.3">
      <c r="D43">
        <v>35</v>
      </c>
      <c r="E43" s="25">
        <v>44332</v>
      </c>
      <c r="F43" s="25"/>
      <c r="G43" s="21">
        <v>16400</v>
      </c>
      <c r="H43" s="24">
        <v>10</v>
      </c>
      <c r="I43" s="21">
        <f>H43*B4</f>
        <v>4690</v>
      </c>
      <c r="J43" s="21">
        <f>G43-I43</f>
        <v>11710</v>
      </c>
      <c r="K43" s="23">
        <f>J43/I43</f>
        <v>2.4968017057569298</v>
      </c>
    </row>
    <row r="44" spans="4:11" x14ac:dyDescent="0.3">
      <c r="D44">
        <v>36</v>
      </c>
      <c r="E44" s="25">
        <v>44333</v>
      </c>
      <c r="F44" s="25"/>
      <c r="G44" s="21">
        <v>15000</v>
      </c>
      <c r="H44" s="24">
        <v>10</v>
      </c>
      <c r="I44" s="21">
        <f>H44*B5</f>
        <v>5000</v>
      </c>
      <c r="J44" s="21">
        <f>G44-I44</f>
        <v>10000</v>
      </c>
      <c r="K44" s="23">
        <f>J44/I44</f>
        <v>2</v>
      </c>
    </row>
    <row r="45" spans="4:11" x14ac:dyDescent="0.3">
      <c r="D45">
        <v>37</v>
      </c>
      <c r="E45" s="25">
        <v>44333</v>
      </c>
      <c r="F45" s="25"/>
      <c r="G45" s="18">
        <v>3500</v>
      </c>
      <c r="H45" s="24">
        <v>10</v>
      </c>
      <c r="I45" s="21">
        <f>H45*D2</f>
        <v>990</v>
      </c>
      <c r="J45" s="21">
        <f>G45-I45</f>
        <v>2510</v>
      </c>
      <c r="K45" s="23">
        <f>J45/I45</f>
        <v>2.5353535353535355</v>
      </c>
    </row>
    <row r="46" spans="4:11" x14ac:dyDescent="0.3">
      <c r="D46">
        <v>38</v>
      </c>
      <c r="E46" s="25">
        <v>44333</v>
      </c>
      <c r="F46" s="25"/>
      <c r="G46" s="18">
        <v>4500</v>
      </c>
      <c r="H46" s="24">
        <v>10</v>
      </c>
      <c r="I46" s="21">
        <f>H46*D4</f>
        <v>1260</v>
      </c>
      <c r="J46" s="21">
        <f t="shared" ref="J46:J52" si="6">G46-I46</f>
        <v>3240</v>
      </c>
      <c r="K46" s="23">
        <f t="shared" ref="K46:K58" si="7">J46/I46</f>
        <v>2.5714285714285716</v>
      </c>
    </row>
    <row r="47" spans="4:11" x14ac:dyDescent="0.3">
      <c r="D47">
        <v>39</v>
      </c>
      <c r="E47" s="25">
        <v>44333</v>
      </c>
      <c r="F47" s="25"/>
      <c r="G47" s="18">
        <v>5000</v>
      </c>
      <c r="H47" s="24">
        <v>10</v>
      </c>
      <c r="I47" s="21">
        <f>H47*D6</f>
        <v>1570</v>
      </c>
      <c r="J47" s="21">
        <f t="shared" si="6"/>
        <v>3430</v>
      </c>
      <c r="K47" s="23">
        <f t="shared" si="7"/>
        <v>2.1847133757961785</v>
      </c>
    </row>
    <row r="48" spans="4:11" x14ac:dyDescent="0.3">
      <c r="D48">
        <v>40</v>
      </c>
      <c r="E48" s="25">
        <v>44333</v>
      </c>
      <c r="F48" s="25"/>
      <c r="G48" s="18">
        <v>6500</v>
      </c>
      <c r="H48" s="24">
        <v>10</v>
      </c>
      <c r="I48" s="21">
        <f>H48*D7</f>
        <v>2200</v>
      </c>
      <c r="J48" s="21">
        <f t="shared" si="6"/>
        <v>4300</v>
      </c>
      <c r="K48" s="23">
        <f t="shared" si="7"/>
        <v>1.9545454545454546</v>
      </c>
    </row>
    <row r="49" spans="4:11" x14ac:dyDescent="0.3">
      <c r="D49">
        <v>41</v>
      </c>
      <c r="E49" s="25">
        <v>44333</v>
      </c>
      <c r="F49" s="25"/>
      <c r="G49" s="18">
        <v>6000</v>
      </c>
      <c r="H49" s="24">
        <v>10</v>
      </c>
      <c r="I49" s="21">
        <f>H49*D3</f>
        <v>1970</v>
      </c>
      <c r="J49" s="21">
        <f t="shared" si="6"/>
        <v>4030</v>
      </c>
      <c r="K49" s="23">
        <f t="shared" si="7"/>
        <v>2.0456852791878171</v>
      </c>
    </row>
    <row r="50" spans="4:11" x14ac:dyDescent="0.3">
      <c r="D50">
        <v>42</v>
      </c>
      <c r="E50" s="25">
        <v>44333</v>
      </c>
      <c r="F50" s="25"/>
      <c r="G50" s="20">
        <v>5500</v>
      </c>
      <c r="H50" s="24">
        <v>5</v>
      </c>
      <c r="I50" s="21">
        <f>H50*B3</f>
        <v>1640</v>
      </c>
      <c r="J50" s="21">
        <f t="shared" si="6"/>
        <v>3860</v>
      </c>
      <c r="K50" s="23">
        <f t="shared" si="7"/>
        <v>2.3536585365853657</v>
      </c>
    </row>
    <row r="51" spans="4:11" x14ac:dyDescent="0.3">
      <c r="D51">
        <v>43</v>
      </c>
      <c r="E51" s="25">
        <v>44333</v>
      </c>
      <c r="F51" s="25"/>
      <c r="G51" s="20">
        <v>8000</v>
      </c>
      <c r="H51" s="24">
        <v>5</v>
      </c>
      <c r="I51" s="21">
        <f>H51*B4</f>
        <v>2345</v>
      </c>
      <c r="J51" s="21">
        <f t="shared" si="6"/>
        <v>5655</v>
      </c>
      <c r="K51" s="23">
        <f t="shared" si="7"/>
        <v>2.4115138592750531</v>
      </c>
    </row>
    <row r="52" spans="4:11" x14ac:dyDescent="0.3">
      <c r="D52">
        <v>44</v>
      </c>
      <c r="E52" s="25">
        <v>44333</v>
      </c>
      <c r="F52" s="25"/>
      <c r="G52" s="20">
        <v>7000</v>
      </c>
      <c r="H52" s="24">
        <v>10</v>
      </c>
      <c r="I52" s="21">
        <f>H52*D5</f>
        <v>2460</v>
      </c>
      <c r="J52" s="21">
        <f t="shared" si="6"/>
        <v>4540</v>
      </c>
      <c r="K52" s="23">
        <f t="shared" si="7"/>
        <v>1.8455284552845528</v>
      </c>
    </row>
    <row r="53" spans="4:11" x14ac:dyDescent="0.3">
      <c r="D53">
        <v>45</v>
      </c>
      <c r="E53" s="25">
        <v>44334</v>
      </c>
      <c r="F53" s="25"/>
      <c r="G53" s="21">
        <v>9120</v>
      </c>
      <c r="H53" s="24">
        <v>30</v>
      </c>
      <c r="I53" s="21">
        <f>H53*D2</f>
        <v>2970</v>
      </c>
      <c r="J53" s="21">
        <f t="shared" ref="J53:J59" si="8">G53-I53</f>
        <v>6150</v>
      </c>
      <c r="K53" s="32">
        <f t="shared" si="7"/>
        <v>2.0707070707070705</v>
      </c>
    </row>
    <row r="54" spans="4:11" x14ac:dyDescent="0.3">
      <c r="D54">
        <v>46</v>
      </c>
      <c r="E54" s="25">
        <v>44335</v>
      </c>
      <c r="F54" s="25"/>
      <c r="G54" s="21">
        <f>7150-1401</f>
        <v>5749</v>
      </c>
      <c r="H54" s="24">
        <v>10</v>
      </c>
      <c r="I54" s="21">
        <f>H54*B1</f>
        <v>1873.4</v>
      </c>
      <c r="J54" s="21">
        <f t="shared" si="8"/>
        <v>3875.6</v>
      </c>
      <c r="K54" s="32">
        <f t="shared" si="7"/>
        <v>2.0687520017081242</v>
      </c>
    </row>
    <row r="55" spans="4:11" x14ac:dyDescent="0.3">
      <c r="D55">
        <v>47</v>
      </c>
      <c r="E55" s="25">
        <v>44335</v>
      </c>
      <c r="F55" s="25"/>
      <c r="G55" s="21">
        <f>6150*2-2522</f>
        <v>9778</v>
      </c>
      <c r="H55" s="39">
        <v>20</v>
      </c>
      <c r="I55" s="21">
        <f>H55*D6</f>
        <v>3140</v>
      </c>
      <c r="J55" s="21">
        <f t="shared" si="8"/>
        <v>6638</v>
      </c>
      <c r="K55" s="32">
        <f t="shared" si="7"/>
        <v>2.114012738853503</v>
      </c>
    </row>
    <row r="56" spans="4:11" x14ac:dyDescent="0.3">
      <c r="D56">
        <v>48</v>
      </c>
      <c r="E56" s="25">
        <v>44335</v>
      </c>
      <c r="F56" s="25"/>
      <c r="G56" s="21">
        <f>5150*2-2242</f>
        <v>8058</v>
      </c>
      <c r="H56" s="39">
        <v>20</v>
      </c>
      <c r="I56" s="21">
        <f>H56*D4</f>
        <v>2520</v>
      </c>
      <c r="J56" s="21">
        <f t="shared" si="8"/>
        <v>5538</v>
      </c>
      <c r="K56" s="32">
        <f t="shared" si="7"/>
        <v>2.1976190476190478</v>
      </c>
    </row>
    <row r="57" spans="4:11" x14ac:dyDescent="0.3">
      <c r="D57">
        <v>49</v>
      </c>
      <c r="E57" s="25">
        <v>44335</v>
      </c>
      <c r="F57" s="25"/>
      <c r="G57" s="21">
        <f>4100-974</f>
        <v>3126</v>
      </c>
      <c r="H57" s="39">
        <v>10</v>
      </c>
      <c r="I57" s="21">
        <f>H57*D2</f>
        <v>990</v>
      </c>
      <c r="J57" s="21">
        <f t="shared" si="8"/>
        <v>2136</v>
      </c>
      <c r="K57" s="32">
        <f t="shared" si="7"/>
        <v>2.1575757575757577</v>
      </c>
    </row>
    <row r="58" spans="4:11" x14ac:dyDescent="0.3">
      <c r="D58">
        <v>50</v>
      </c>
      <c r="E58" s="25">
        <v>44335</v>
      </c>
      <c r="F58" s="25"/>
      <c r="G58" s="21">
        <f>5150*3-3363</f>
        <v>12087</v>
      </c>
      <c r="H58" s="39">
        <v>30</v>
      </c>
      <c r="I58" s="21">
        <f>H58*D4</f>
        <v>3780</v>
      </c>
      <c r="J58" s="21">
        <f t="shared" si="8"/>
        <v>8307</v>
      </c>
      <c r="K58" s="32">
        <f t="shared" si="7"/>
        <v>2.1976190476190478</v>
      </c>
    </row>
    <row r="59" spans="4:11" x14ac:dyDescent="0.3">
      <c r="D59">
        <v>51</v>
      </c>
      <c r="E59" s="25">
        <v>44335</v>
      </c>
      <c r="F59" s="25"/>
      <c r="G59" s="21">
        <f>5150*4-4484</f>
        <v>16116</v>
      </c>
      <c r="H59" s="39">
        <v>40</v>
      </c>
      <c r="I59" s="21">
        <f>H59*D4</f>
        <v>5040</v>
      </c>
      <c r="J59" s="21">
        <f t="shared" si="8"/>
        <v>11076</v>
      </c>
      <c r="K59" s="32">
        <f t="shared" ref="K59:K117" si="9">J59/I59</f>
        <v>2.1976190476190478</v>
      </c>
    </row>
    <row r="60" spans="4:11" x14ac:dyDescent="0.3">
      <c r="D60">
        <v>52</v>
      </c>
      <c r="E60" s="25">
        <v>44344</v>
      </c>
      <c r="F60" s="25"/>
      <c r="G60" s="21">
        <v>7512</v>
      </c>
      <c r="H60" s="39">
        <v>5</v>
      </c>
      <c r="I60" s="21">
        <f>H60*B5</f>
        <v>2500</v>
      </c>
      <c r="J60" s="21">
        <f t="shared" ref="J60:J68" si="10">G60-I60</f>
        <v>5012</v>
      </c>
      <c r="K60" s="32">
        <f t="shared" si="9"/>
        <v>2.0047999999999999</v>
      </c>
    </row>
    <row r="61" spans="4:11" x14ac:dyDescent="0.3">
      <c r="D61">
        <v>53</v>
      </c>
      <c r="E61" s="25">
        <v>44344</v>
      </c>
      <c r="F61" s="25"/>
      <c r="G61" s="21">
        <v>22536</v>
      </c>
      <c r="H61" s="39">
        <v>15</v>
      </c>
      <c r="I61" s="21">
        <f>H61*B5</f>
        <v>7500</v>
      </c>
      <c r="J61" s="21">
        <f t="shared" si="10"/>
        <v>15036</v>
      </c>
      <c r="K61" s="32">
        <f t="shared" si="9"/>
        <v>2.0047999999999999</v>
      </c>
    </row>
    <row r="62" spans="4:11" x14ac:dyDescent="0.3">
      <c r="D62">
        <v>54</v>
      </c>
      <c r="E62" s="25">
        <v>44344</v>
      </c>
      <c r="F62" s="25"/>
      <c r="G62" s="21">
        <v>8200</v>
      </c>
      <c r="H62" s="39">
        <v>5</v>
      </c>
      <c r="I62" s="21">
        <f>H62*B4</f>
        <v>2345</v>
      </c>
      <c r="J62" s="21">
        <f t="shared" si="10"/>
        <v>5855</v>
      </c>
      <c r="K62" s="32">
        <f t="shared" si="9"/>
        <v>2.4968017057569298</v>
      </c>
    </row>
    <row r="63" spans="4:11" x14ac:dyDescent="0.3">
      <c r="D63">
        <v>55</v>
      </c>
      <c r="E63" s="26">
        <v>44349</v>
      </c>
      <c r="F63" s="26"/>
      <c r="G63" s="21">
        <v>8058</v>
      </c>
      <c r="H63" s="39">
        <v>20</v>
      </c>
      <c r="I63" s="21">
        <f>H63*D4</f>
        <v>2520</v>
      </c>
      <c r="J63" s="21">
        <f t="shared" si="10"/>
        <v>5538</v>
      </c>
      <c r="K63" s="32">
        <f t="shared" si="9"/>
        <v>2.1976190476190478</v>
      </c>
    </row>
    <row r="64" spans="4:11" x14ac:dyDescent="0.3">
      <c r="D64">
        <v>56</v>
      </c>
      <c r="E64" s="26">
        <v>44349</v>
      </c>
      <c r="F64" s="26"/>
      <c r="G64" s="21">
        <v>6652</v>
      </c>
      <c r="H64" s="39">
        <v>10</v>
      </c>
      <c r="I64" s="21">
        <f>H64*D7</f>
        <v>2200</v>
      </c>
      <c r="J64" s="21">
        <f t="shared" si="10"/>
        <v>4452</v>
      </c>
      <c r="K64" s="32">
        <f t="shared" si="9"/>
        <v>2.0236363636363635</v>
      </c>
    </row>
    <row r="65" spans="4:11" x14ac:dyDescent="0.3">
      <c r="D65">
        <v>57</v>
      </c>
      <c r="E65" s="26">
        <v>44358</v>
      </c>
      <c r="F65" s="26"/>
      <c r="G65" s="21">
        <v>7469</v>
      </c>
      <c r="H65" s="39">
        <v>10</v>
      </c>
      <c r="I65" s="21">
        <f>H65*D5</f>
        <v>2460</v>
      </c>
      <c r="J65" s="21">
        <f t="shared" si="10"/>
        <v>5009</v>
      </c>
      <c r="K65" s="32">
        <f t="shared" si="9"/>
        <v>2.0361788617886178</v>
      </c>
    </row>
    <row r="66" spans="4:11" x14ac:dyDescent="0.3">
      <c r="D66">
        <v>58</v>
      </c>
      <c r="E66" s="26">
        <v>44358</v>
      </c>
      <c r="F66" s="26"/>
      <c r="G66" s="21">
        <v>22480</v>
      </c>
      <c r="H66" s="39">
        <v>20</v>
      </c>
      <c r="I66" s="21">
        <f>H66*B3</f>
        <v>6560</v>
      </c>
      <c r="J66" s="21">
        <f t="shared" si="10"/>
        <v>15920</v>
      </c>
      <c r="K66" s="32">
        <f t="shared" si="9"/>
        <v>2.4268292682926829</v>
      </c>
    </row>
    <row r="67" spans="4:11" x14ac:dyDescent="0.3">
      <c r="D67">
        <v>59</v>
      </c>
      <c r="E67" s="26">
        <v>44358</v>
      </c>
      <c r="F67" s="26"/>
      <c r="G67" s="21">
        <f>(9200-1688)*2</f>
        <v>15024</v>
      </c>
      <c r="H67" s="39">
        <v>10</v>
      </c>
      <c r="I67" s="21">
        <f>H67*B5</f>
        <v>5000</v>
      </c>
      <c r="J67" s="21">
        <f t="shared" si="10"/>
        <v>10024</v>
      </c>
      <c r="K67" s="32">
        <f t="shared" si="9"/>
        <v>2.0047999999999999</v>
      </c>
    </row>
    <row r="68" spans="4:11" x14ac:dyDescent="0.3">
      <c r="D68">
        <v>60</v>
      </c>
      <c r="E68" s="26">
        <v>44358</v>
      </c>
      <c r="F68" s="26"/>
      <c r="G68" s="21">
        <f>9200-1688</f>
        <v>7512</v>
      </c>
      <c r="H68" s="39">
        <v>5</v>
      </c>
      <c r="I68" s="21">
        <f>H68*B5</f>
        <v>2500</v>
      </c>
      <c r="J68" s="21">
        <f t="shared" si="10"/>
        <v>5012</v>
      </c>
      <c r="K68" s="32">
        <f t="shared" si="9"/>
        <v>2.0047999999999999</v>
      </c>
    </row>
    <row r="69" spans="4:11" x14ac:dyDescent="0.3">
      <c r="D69">
        <v>61</v>
      </c>
      <c r="E69" s="26">
        <v>44358</v>
      </c>
      <c r="F69" s="26"/>
      <c r="G69" s="21">
        <f>8200-1548</f>
        <v>6652</v>
      </c>
      <c r="H69" s="39">
        <v>10</v>
      </c>
      <c r="I69" s="21">
        <f>H69*D7</f>
        <v>2200</v>
      </c>
      <c r="J69" s="21">
        <f t="shared" ref="J69:J74" si="11">G69-I69</f>
        <v>4452</v>
      </c>
      <c r="K69" s="32">
        <f t="shared" si="9"/>
        <v>2.0236363636363635</v>
      </c>
    </row>
    <row r="70" spans="4:11" x14ac:dyDescent="0.3">
      <c r="D70">
        <v>62</v>
      </c>
      <c r="E70" s="26">
        <v>44358</v>
      </c>
      <c r="F70" s="26"/>
      <c r="G70" s="21">
        <f>6150-1261</f>
        <v>4889</v>
      </c>
      <c r="H70" s="39">
        <v>10</v>
      </c>
      <c r="I70" s="21">
        <f>H70*D6</f>
        <v>1570</v>
      </c>
      <c r="J70" s="21">
        <f t="shared" si="11"/>
        <v>3319</v>
      </c>
      <c r="K70" s="32">
        <f t="shared" si="9"/>
        <v>2.114012738853503</v>
      </c>
    </row>
    <row r="71" spans="4:11" x14ac:dyDescent="0.3">
      <c r="D71">
        <v>63</v>
      </c>
      <c r="E71" s="26">
        <v>44360</v>
      </c>
      <c r="F71" s="26"/>
      <c r="G71" s="21">
        <v>5448</v>
      </c>
      <c r="H71" s="39">
        <v>10</v>
      </c>
      <c r="I71" s="21">
        <f>H71*B1</f>
        <v>1873.4</v>
      </c>
      <c r="J71" s="21">
        <f t="shared" si="11"/>
        <v>3574.6</v>
      </c>
      <c r="K71" s="23">
        <f t="shared" si="9"/>
        <v>1.9080815629337033</v>
      </c>
    </row>
    <row r="72" spans="4:11" x14ac:dyDescent="0.3">
      <c r="D72">
        <v>64</v>
      </c>
      <c r="E72" s="26">
        <v>44360</v>
      </c>
      <c r="F72" s="26"/>
      <c r="G72" s="21">
        <v>3212</v>
      </c>
      <c r="H72" s="39">
        <v>10</v>
      </c>
      <c r="I72" s="21">
        <f>H72*D2</f>
        <v>990</v>
      </c>
      <c r="J72" s="21">
        <f t="shared" si="11"/>
        <v>2222</v>
      </c>
      <c r="K72" s="23">
        <f t="shared" si="9"/>
        <v>2.2444444444444445</v>
      </c>
    </row>
    <row r="73" spans="4:11" x14ac:dyDescent="0.3">
      <c r="D73">
        <v>65</v>
      </c>
      <c r="E73" s="26">
        <v>44360</v>
      </c>
      <c r="F73" s="26"/>
      <c r="G73" s="21">
        <v>4158</v>
      </c>
      <c r="H73" s="39">
        <v>10</v>
      </c>
      <c r="I73" s="21">
        <f>H73*D4</f>
        <v>1260</v>
      </c>
      <c r="J73" s="21">
        <f t="shared" si="11"/>
        <v>2898</v>
      </c>
      <c r="K73" s="23">
        <f t="shared" si="9"/>
        <v>2.2999999999999998</v>
      </c>
    </row>
    <row r="74" spans="4:11" x14ac:dyDescent="0.3">
      <c r="D74">
        <v>66</v>
      </c>
      <c r="E74" s="26">
        <v>44360</v>
      </c>
      <c r="F74" s="26"/>
      <c r="G74" s="21">
        <v>4889</v>
      </c>
      <c r="H74" s="39">
        <v>10</v>
      </c>
      <c r="I74" s="21">
        <f>H74*D6</f>
        <v>1570</v>
      </c>
      <c r="J74" s="21">
        <f t="shared" si="11"/>
        <v>3319</v>
      </c>
      <c r="K74" s="23">
        <f t="shared" si="9"/>
        <v>2.114012738853503</v>
      </c>
    </row>
    <row r="75" spans="4:11" x14ac:dyDescent="0.3">
      <c r="D75">
        <v>67</v>
      </c>
      <c r="E75" s="26">
        <v>44363</v>
      </c>
      <c r="F75" s="26"/>
      <c r="G75" s="21">
        <v>30250</v>
      </c>
      <c r="H75" s="39">
        <v>50</v>
      </c>
      <c r="I75" s="21">
        <f>H75*D3</f>
        <v>9850</v>
      </c>
      <c r="J75" s="21">
        <f t="shared" ref="J75:J85" si="12">G75-I75</f>
        <v>20400</v>
      </c>
      <c r="K75" s="23">
        <f t="shared" si="9"/>
        <v>2.0710659898477157</v>
      </c>
    </row>
    <row r="76" spans="4:11" x14ac:dyDescent="0.3">
      <c r="D76">
        <v>68</v>
      </c>
      <c r="E76" s="26">
        <v>44365</v>
      </c>
      <c r="F76" s="26"/>
      <c r="G76" s="21">
        <v>20790</v>
      </c>
      <c r="H76" s="39">
        <v>50</v>
      </c>
      <c r="I76" s="21">
        <f>H76*D4</f>
        <v>6300</v>
      </c>
      <c r="J76" s="21">
        <f t="shared" si="12"/>
        <v>14490</v>
      </c>
      <c r="K76" s="23">
        <f t="shared" si="9"/>
        <v>2.2999999999999998</v>
      </c>
    </row>
    <row r="77" spans="4:11" x14ac:dyDescent="0.3">
      <c r="D77">
        <v>69</v>
      </c>
      <c r="E77" s="26">
        <v>44368</v>
      </c>
      <c r="F77" s="26"/>
      <c r="G77" s="21">
        <v>6050</v>
      </c>
      <c r="H77" s="39">
        <v>10</v>
      </c>
      <c r="I77" s="21">
        <f>H77*D3</f>
        <v>1970</v>
      </c>
      <c r="J77" s="21">
        <f t="shared" si="12"/>
        <v>4080</v>
      </c>
      <c r="K77" s="23">
        <f t="shared" si="9"/>
        <v>2.0710659898477157</v>
      </c>
    </row>
    <row r="78" spans="4:11" x14ac:dyDescent="0.3">
      <c r="D78">
        <v>70</v>
      </c>
      <c r="E78" s="26">
        <v>44368</v>
      </c>
      <c r="F78" s="26"/>
      <c r="G78" s="21">
        <v>7469</v>
      </c>
      <c r="H78" s="39">
        <v>10</v>
      </c>
      <c r="I78" s="21">
        <f>H78*D5</f>
        <v>2460</v>
      </c>
      <c r="J78" s="21">
        <f t="shared" si="12"/>
        <v>5009</v>
      </c>
      <c r="K78" s="23">
        <f t="shared" si="9"/>
        <v>2.0361788617886178</v>
      </c>
    </row>
    <row r="79" spans="4:11" x14ac:dyDescent="0.3">
      <c r="D79">
        <v>71</v>
      </c>
      <c r="E79" s="26">
        <v>44368</v>
      </c>
      <c r="F79" s="26"/>
      <c r="G79" s="21">
        <v>10896</v>
      </c>
      <c r="H79" s="39">
        <v>20</v>
      </c>
      <c r="I79" s="21">
        <f>H79*B1</f>
        <v>3746.8</v>
      </c>
      <c r="J79" s="21">
        <f t="shared" si="12"/>
        <v>7149.2</v>
      </c>
      <c r="K79" s="32">
        <f t="shared" si="9"/>
        <v>1.9080815629337033</v>
      </c>
    </row>
    <row r="80" spans="4:11" x14ac:dyDescent="0.3">
      <c r="D80">
        <v>72</v>
      </c>
      <c r="E80" s="26">
        <v>44372</v>
      </c>
      <c r="F80" s="26"/>
      <c r="G80" s="21">
        <v>4889</v>
      </c>
      <c r="H80" s="39">
        <v>10</v>
      </c>
      <c r="I80" s="21">
        <f>H80*D6</f>
        <v>1570</v>
      </c>
      <c r="J80" s="21">
        <f t="shared" si="12"/>
        <v>3319</v>
      </c>
      <c r="K80" s="32">
        <f t="shared" si="9"/>
        <v>2.114012738853503</v>
      </c>
    </row>
    <row r="81" spans="4:11" x14ac:dyDescent="0.3">
      <c r="D81">
        <v>73</v>
      </c>
      <c r="E81" s="26">
        <v>44372</v>
      </c>
      <c r="F81" s="26"/>
      <c r="G81" s="21">
        <f>5300*4-4568</f>
        <v>16632</v>
      </c>
      <c r="H81" s="39">
        <v>40</v>
      </c>
      <c r="I81" s="21">
        <f>H81*D2</f>
        <v>3960</v>
      </c>
      <c r="J81" s="21">
        <f t="shared" si="12"/>
        <v>12672</v>
      </c>
      <c r="K81" s="32">
        <f t="shared" si="9"/>
        <v>3.2</v>
      </c>
    </row>
    <row r="82" spans="4:11" x14ac:dyDescent="0.3">
      <c r="D82">
        <v>74</v>
      </c>
      <c r="E82" s="26">
        <v>44372</v>
      </c>
      <c r="F82" s="26"/>
      <c r="G82" s="21">
        <v>14938</v>
      </c>
      <c r="H82" s="39">
        <v>20</v>
      </c>
      <c r="I82" s="21">
        <f>H82*D5</f>
        <v>4920</v>
      </c>
      <c r="J82" s="21">
        <f t="shared" si="12"/>
        <v>10018</v>
      </c>
      <c r="K82" s="32">
        <f t="shared" si="9"/>
        <v>2.0361788617886178</v>
      </c>
    </row>
    <row r="83" spans="4:11" x14ac:dyDescent="0.3">
      <c r="D83">
        <v>75</v>
      </c>
      <c r="E83" s="26">
        <v>44375</v>
      </c>
      <c r="F83" s="26"/>
      <c r="G83" s="21">
        <v>4889</v>
      </c>
      <c r="H83" s="39">
        <v>10</v>
      </c>
      <c r="I83" s="21">
        <f>H83*D6</f>
        <v>1570</v>
      </c>
      <c r="J83" s="21">
        <f t="shared" si="12"/>
        <v>3319</v>
      </c>
      <c r="K83" s="32">
        <f t="shared" si="9"/>
        <v>2.114012738853503</v>
      </c>
    </row>
    <row r="84" spans="4:11" x14ac:dyDescent="0.3">
      <c r="D84">
        <v>76</v>
      </c>
      <c r="E84" s="26">
        <v>44375</v>
      </c>
      <c r="F84" s="26"/>
      <c r="G84" s="21">
        <f>5300-1142</f>
        <v>4158</v>
      </c>
      <c r="H84" s="39">
        <v>10</v>
      </c>
      <c r="I84" s="21">
        <f>H84*D4</f>
        <v>1260</v>
      </c>
      <c r="J84" s="21">
        <f t="shared" si="12"/>
        <v>2898</v>
      </c>
      <c r="K84" s="32">
        <f t="shared" si="9"/>
        <v>2.2999999999999998</v>
      </c>
    </row>
    <row r="85" spans="4:11" x14ac:dyDescent="0.3">
      <c r="D85">
        <v>77</v>
      </c>
      <c r="E85" s="26">
        <v>44375</v>
      </c>
      <c r="F85" s="26"/>
      <c r="G85" s="21">
        <f>4200-988</f>
        <v>3212</v>
      </c>
      <c r="H85" s="39">
        <v>10</v>
      </c>
      <c r="I85" s="21">
        <f>H85*D2</f>
        <v>990</v>
      </c>
      <c r="J85" s="21">
        <f t="shared" si="12"/>
        <v>2222</v>
      </c>
      <c r="K85" s="32">
        <f t="shared" si="9"/>
        <v>2.2444444444444445</v>
      </c>
    </row>
    <row r="86" spans="4:11" x14ac:dyDescent="0.3">
      <c r="D86">
        <v>78</v>
      </c>
      <c r="E86" s="26">
        <v>44379</v>
      </c>
      <c r="F86" s="26"/>
      <c r="G86" s="33" t="s">
        <v>92</v>
      </c>
      <c r="H86" s="39"/>
      <c r="I86" s="21"/>
      <c r="J86" s="21"/>
      <c r="K86" s="32"/>
    </row>
    <row r="87" spans="4:11" x14ac:dyDescent="0.3">
      <c r="D87">
        <v>79</v>
      </c>
      <c r="E87" s="22"/>
      <c r="F87" s="22"/>
      <c r="G87" s="21">
        <v>8000</v>
      </c>
      <c r="H87" s="39">
        <v>5</v>
      </c>
      <c r="I87" s="21">
        <f>H87*B4</f>
        <v>2345</v>
      </c>
      <c r="J87" s="21">
        <f t="shared" ref="J87:J93" si="13">G87-I87</f>
        <v>5655</v>
      </c>
      <c r="K87" s="32">
        <f t="shared" si="9"/>
        <v>2.4115138592750531</v>
      </c>
    </row>
    <row r="88" spans="4:11" x14ac:dyDescent="0.3">
      <c r="D88">
        <v>80</v>
      </c>
      <c r="E88" s="22"/>
      <c r="F88" s="22"/>
      <c r="G88" s="21">
        <v>8200</v>
      </c>
      <c r="H88" s="39">
        <v>5</v>
      </c>
      <c r="I88" s="21">
        <f>H88*B4</f>
        <v>2345</v>
      </c>
      <c r="J88" s="21">
        <f t="shared" si="13"/>
        <v>5855</v>
      </c>
      <c r="K88" s="32">
        <f t="shared" si="9"/>
        <v>2.4968017057569298</v>
      </c>
    </row>
    <row r="89" spans="4:11" x14ac:dyDescent="0.3">
      <c r="D89">
        <v>81</v>
      </c>
      <c r="E89" s="22"/>
      <c r="F89" s="22"/>
      <c r="G89" s="21">
        <v>4158</v>
      </c>
      <c r="H89" s="39">
        <v>10</v>
      </c>
      <c r="I89" s="21">
        <f>H89*D4</f>
        <v>1260</v>
      </c>
      <c r="J89" s="21">
        <f t="shared" si="13"/>
        <v>2898</v>
      </c>
      <c r="K89" s="32">
        <f t="shared" si="9"/>
        <v>2.2999999999999998</v>
      </c>
    </row>
    <row r="90" spans="4:11" x14ac:dyDescent="0.3">
      <c r="D90">
        <v>82</v>
      </c>
      <c r="E90" s="22"/>
      <c r="F90" s="22"/>
      <c r="G90" s="21">
        <v>4158</v>
      </c>
      <c r="H90" s="39">
        <v>10</v>
      </c>
      <c r="I90" s="21">
        <f>H90*D4</f>
        <v>1260</v>
      </c>
      <c r="J90" s="21">
        <f t="shared" si="13"/>
        <v>2898</v>
      </c>
      <c r="K90" s="32">
        <f t="shared" si="9"/>
        <v>2.2999999999999998</v>
      </c>
    </row>
    <row r="91" spans="4:11" x14ac:dyDescent="0.3">
      <c r="D91">
        <v>83</v>
      </c>
      <c r="E91" s="26">
        <v>44389</v>
      </c>
      <c r="F91" s="26"/>
      <c r="G91" s="21">
        <v>3212</v>
      </c>
      <c r="H91" s="39">
        <v>10</v>
      </c>
      <c r="I91" s="21">
        <f>H91*D2</f>
        <v>990</v>
      </c>
      <c r="J91" s="21">
        <f t="shared" si="13"/>
        <v>2222</v>
      </c>
      <c r="K91" s="32">
        <f t="shared" si="9"/>
        <v>2.2444444444444445</v>
      </c>
    </row>
    <row r="92" spans="4:11" x14ac:dyDescent="0.3">
      <c r="D92">
        <v>84</v>
      </c>
      <c r="E92" s="26">
        <v>44391</v>
      </c>
      <c r="F92" s="26"/>
      <c r="G92" s="21">
        <f>15000-2900</f>
        <v>12100</v>
      </c>
      <c r="H92" s="39">
        <v>20</v>
      </c>
      <c r="I92" s="21">
        <f>H92*D3</f>
        <v>3940</v>
      </c>
      <c r="J92" s="21">
        <f t="shared" si="13"/>
        <v>8160</v>
      </c>
      <c r="K92" s="23">
        <f t="shared" si="9"/>
        <v>2.0710659898477157</v>
      </c>
    </row>
    <row r="93" spans="4:11" x14ac:dyDescent="0.3">
      <c r="D93">
        <v>85</v>
      </c>
      <c r="E93" s="26">
        <v>44391</v>
      </c>
      <c r="F93" s="26"/>
      <c r="G93" s="21">
        <f>10600-2284</f>
        <v>8316</v>
      </c>
      <c r="H93" s="39">
        <v>20</v>
      </c>
      <c r="I93" s="21">
        <f>H93*D4</f>
        <v>2520</v>
      </c>
      <c r="J93" s="21">
        <f t="shared" si="13"/>
        <v>5796</v>
      </c>
      <c r="K93" s="23">
        <f t="shared" si="9"/>
        <v>2.2999999999999998</v>
      </c>
    </row>
    <row r="94" spans="4:11" x14ac:dyDescent="0.3">
      <c r="D94">
        <v>86</v>
      </c>
      <c r="E94" s="26">
        <v>44392</v>
      </c>
      <c r="F94" s="26"/>
      <c r="G94" s="21">
        <v>6050</v>
      </c>
      <c r="H94" s="39">
        <v>10</v>
      </c>
      <c r="I94" s="21">
        <f>H94*D3</f>
        <v>1970</v>
      </c>
      <c r="J94" s="21">
        <f t="shared" ref="J94:J106" si="14">G94-I94</f>
        <v>4080</v>
      </c>
      <c r="K94" s="23">
        <f t="shared" si="9"/>
        <v>2.0710659898477157</v>
      </c>
    </row>
    <row r="95" spans="4:11" x14ac:dyDescent="0.3">
      <c r="D95">
        <v>87</v>
      </c>
      <c r="E95" s="26">
        <v>44394</v>
      </c>
      <c r="F95" s="26"/>
      <c r="G95" s="21">
        <v>7469</v>
      </c>
      <c r="H95" s="39">
        <v>10</v>
      </c>
      <c r="I95" s="21">
        <f>H95*D5</f>
        <v>2460</v>
      </c>
      <c r="J95" s="21">
        <f t="shared" si="14"/>
        <v>5009</v>
      </c>
      <c r="K95" s="23">
        <f t="shared" si="9"/>
        <v>2.0361788617886178</v>
      </c>
    </row>
    <row r="96" spans="4:11" x14ac:dyDescent="0.3">
      <c r="D96">
        <v>88</v>
      </c>
      <c r="E96" s="26">
        <v>44394</v>
      </c>
      <c r="F96" s="26"/>
      <c r="G96" s="21">
        <f>6150*2-2522</f>
        <v>9778</v>
      </c>
      <c r="H96" s="39">
        <v>20</v>
      </c>
      <c r="I96" s="21">
        <f>H96*D6</f>
        <v>3140</v>
      </c>
      <c r="J96" s="21">
        <f t="shared" si="14"/>
        <v>6638</v>
      </c>
      <c r="K96" s="23">
        <f t="shared" si="9"/>
        <v>2.114012738853503</v>
      </c>
    </row>
    <row r="97" spans="4:11" x14ac:dyDescent="0.3">
      <c r="D97">
        <v>89</v>
      </c>
      <c r="E97" s="26">
        <v>44394</v>
      </c>
      <c r="F97" s="26"/>
      <c r="G97" s="21">
        <f>5300*2-2284</f>
        <v>8316</v>
      </c>
      <c r="H97" s="39">
        <v>20</v>
      </c>
      <c r="I97" s="21">
        <f>H97*D2</f>
        <v>1980</v>
      </c>
      <c r="J97" s="21">
        <f t="shared" si="14"/>
        <v>6336</v>
      </c>
      <c r="K97" s="23">
        <f t="shared" si="9"/>
        <v>3.2</v>
      </c>
    </row>
    <row r="98" spans="4:11" x14ac:dyDescent="0.3">
      <c r="D98">
        <v>90</v>
      </c>
      <c r="E98" s="26">
        <v>44394</v>
      </c>
      <c r="F98" s="26"/>
      <c r="G98" s="21">
        <f>4200*2-1976</f>
        <v>6424</v>
      </c>
      <c r="H98" s="39">
        <v>20</v>
      </c>
      <c r="I98" s="21">
        <f>H98*D4</f>
        <v>2520</v>
      </c>
      <c r="J98" s="21">
        <f t="shared" si="14"/>
        <v>3904</v>
      </c>
      <c r="K98" s="23">
        <f t="shared" si="9"/>
        <v>1.5492063492063493</v>
      </c>
    </row>
    <row r="99" spans="4:11" x14ac:dyDescent="0.3">
      <c r="D99">
        <v>91</v>
      </c>
      <c r="E99" s="26">
        <v>44394</v>
      </c>
      <c r="F99" s="26"/>
      <c r="G99" s="21">
        <f>9150-1681</f>
        <v>7469</v>
      </c>
      <c r="H99" s="39">
        <v>10</v>
      </c>
      <c r="I99" s="21">
        <f>H99*D5</f>
        <v>2460</v>
      </c>
      <c r="J99" s="21">
        <f t="shared" si="14"/>
        <v>5009</v>
      </c>
      <c r="K99" s="23">
        <f t="shared" si="9"/>
        <v>2.0361788617886178</v>
      </c>
    </row>
    <row r="100" spans="4:11" x14ac:dyDescent="0.3">
      <c r="D100">
        <v>92</v>
      </c>
      <c r="E100" s="26">
        <v>44394</v>
      </c>
      <c r="F100" s="26"/>
      <c r="G100" s="21">
        <f>7500-1450</f>
        <v>6050</v>
      </c>
      <c r="H100" s="39">
        <v>10</v>
      </c>
      <c r="I100" s="21">
        <f>H100*D3</f>
        <v>1970</v>
      </c>
      <c r="J100" s="21">
        <f t="shared" si="14"/>
        <v>4080</v>
      </c>
      <c r="K100" s="23">
        <f t="shared" si="9"/>
        <v>2.0710659898477157</v>
      </c>
    </row>
    <row r="101" spans="4:11" x14ac:dyDescent="0.3">
      <c r="D101">
        <v>93</v>
      </c>
      <c r="E101" s="26">
        <v>44395</v>
      </c>
      <c r="F101" s="26"/>
      <c r="G101" s="21">
        <v>4889</v>
      </c>
      <c r="H101" s="39">
        <v>10</v>
      </c>
      <c r="I101" s="21">
        <f>H101*D6</f>
        <v>1570</v>
      </c>
      <c r="J101" s="21">
        <f t="shared" si="14"/>
        <v>3319</v>
      </c>
      <c r="K101" s="23">
        <f t="shared" si="9"/>
        <v>2.114012738853503</v>
      </c>
    </row>
    <row r="102" spans="4:11" x14ac:dyDescent="0.3">
      <c r="D102">
        <v>94</v>
      </c>
      <c r="E102" s="26">
        <v>44395</v>
      </c>
      <c r="F102" s="26"/>
      <c r="G102" s="21">
        <f>20000-3600</f>
        <v>16400</v>
      </c>
      <c r="H102" s="39">
        <v>10</v>
      </c>
      <c r="I102" s="21">
        <f>H102*B4</f>
        <v>4690</v>
      </c>
      <c r="J102" s="21">
        <f t="shared" si="14"/>
        <v>11710</v>
      </c>
      <c r="K102" s="23">
        <f t="shared" si="9"/>
        <v>2.4968017057569298</v>
      </c>
    </row>
    <row r="103" spans="4:11" x14ac:dyDescent="0.3">
      <c r="D103">
        <v>95</v>
      </c>
      <c r="E103" s="26">
        <v>44395</v>
      </c>
      <c r="F103" s="26"/>
      <c r="G103" s="21">
        <f>5300-1142</f>
        <v>4158</v>
      </c>
      <c r="H103" s="39">
        <v>10</v>
      </c>
      <c r="I103" s="21">
        <f>H103*D4</f>
        <v>1260</v>
      </c>
      <c r="J103" s="21">
        <f t="shared" si="14"/>
        <v>2898</v>
      </c>
      <c r="K103" s="23">
        <f t="shared" si="9"/>
        <v>2.2999999999999998</v>
      </c>
    </row>
    <row r="104" spans="4:11" x14ac:dyDescent="0.3">
      <c r="D104">
        <v>96</v>
      </c>
      <c r="E104" s="26">
        <v>44396</v>
      </c>
      <c r="F104" s="26"/>
      <c r="G104" s="21">
        <v>19956</v>
      </c>
      <c r="H104" s="39">
        <v>30</v>
      </c>
      <c r="I104" s="21">
        <f>H104*D7</f>
        <v>6600</v>
      </c>
      <c r="J104" s="21">
        <f t="shared" si="14"/>
        <v>13356</v>
      </c>
      <c r="K104" s="23">
        <f t="shared" si="9"/>
        <v>2.0236363636363635</v>
      </c>
    </row>
    <row r="105" spans="4:11" x14ac:dyDescent="0.3">
      <c r="D105">
        <v>97</v>
      </c>
      <c r="E105" s="26">
        <v>44403</v>
      </c>
      <c r="F105" s="26"/>
      <c r="G105" s="21">
        <v>8200</v>
      </c>
      <c r="H105" s="39">
        <v>5</v>
      </c>
      <c r="I105" s="21">
        <f>H105*B4</f>
        <v>2345</v>
      </c>
      <c r="J105" s="21">
        <f t="shared" si="14"/>
        <v>5855</v>
      </c>
      <c r="K105" s="23">
        <f t="shared" si="9"/>
        <v>2.4968017057569298</v>
      </c>
    </row>
    <row r="106" spans="4:11" x14ac:dyDescent="0.3">
      <c r="D106">
        <v>98</v>
      </c>
      <c r="E106" s="26">
        <v>44403</v>
      </c>
      <c r="F106" s="26"/>
      <c r="G106" s="21">
        <f>5300-1142</f>
        <v>4158</v>
      </c>
      <c r="H106" s="39">
        <v>10</v>
      </c>
      <c r="I106" s="21">
        <f>H106*D4</f>
        <v>1260</v>
      </c>
      <c r="J106" s="21">
        <f t="shared" si="14"/>
        <v>2898</v>
      </c>
      <c r="K106" s="23">
        <f t="shared" si="9"/>
        <v>2.2999999999999998</v>
      </c>
    </row>
    <row r="107" spans="4:11" x14ac:dyDescent="0.3">
      <c r="D107">
        <v>99</v>
      </c>
      <c r="E107" s="26">
        <v>44407</v>
      </c>
      <c r="F107" s="26"/>
      <c r="G107" s="21">
        <f>9150-1681</f>
        <v>7469</v>
      </c>
      <c r="H107" s="39">
        <v>10</v>
      </c>
      <c r="I107" s="21">
        <f>H107*D5</f>
        <v>2460</v>
      </c>
      <c r="J107" s="21">
        <f t="shared" ref="J107:J117" si="15">G107-I107</f>
        <v>5009</v>
      </c>
      <c r="K107" s="23">
        <f t="shared" si="9"/>
        <v>2.0361788617886178</v>
      </c>
    </row>
    <row r="108" spans="4:11" x14ac:dyDescent="0.3">
      <c r="D108">
        <v>100</v>
      </c>
      <c r="E108" s="26">
        <v>44409</v>
      </c>
      <c r="F108" s="26"/>
      <c r="G108" s="21">
        <f>4158*3</f>
        <v>12474</v>
      </c>
      <c r="H108" s="39">
        <v>30</v>
      </c>
      <c r="I108" s="21">
        <f>H108*D4</f>
        <v>3780</v>
      </c>
      <c r="J108" s="21">
        <f t="shared" si="15"/>
        <v>8694</v>
      </c>
      <c r="K108" s="23">
        <f t="shared" si="9"/>
        <v>2.2999999999999998</v>
      </c>
    </row>
    <row r="109" spans="4:11" x14ac:dyDescent="0.3">
      <c r="D109">
        <v>101</v>
      </c>
      <c r="E109" s="26">
        <v>44409</v>
      </c>
      <c r="F109" s="26"/>
      <c r="G109" s="21">
        <f>(6150*3-2284)</f>
        <v>16166</v>
      </c>
      <c r="H109" s="39">
        <v>30</v>
      </c>
      <c r="I109" s="21">
        <f>H109*D6</f>
        <v>4710</v>
      </c>
      <c r="J109" s="21">
        <f t="shared" si="15"/>
        <v>11456</v>
      </c>
      <c r="K109" s="23">
        <f t="shared" si="9"/>
        <v>2.4322717622080678</v>
      </c>
    </row>
    <row r="110" spans="4:11" x14ac:dyDescent="0.3">
      <c r="D110">
        <v>102</v>
      </c>
      <c r="E110" s="26">
        <v>44411</v>
      </c>
      <c r="F110" s="26"/>
      <c r="G110" s="21">
        <v>16060</v>
      </c>
      <c r="H110" s="39">
        <v>50</v>
      </c>
      <c r="I110" s="21">
        <f>H110*D2</f>
        <v>4950</v>
      </c>
      <c r="J110" s="21">
        <f>G110-I110</f>
        <v>11110</v>
      </c>
      <c r="K110" s="23">
        <f t="shared" si="9"/>
        <v>2.2444444444444445</v>
      </c>
    </row>
    <row r="111" spans="4:11" x14ac:dyDescent="0.3">
      <c r="D111">
        <v>103</v>
      </c>
      <c r="E111" s="26">
        <v>44411</v>
      </c>
      <c r="F111" s="26"/>
      <c r="G111" s="21">
        <v>4889</v>
      </c>
      <c r="H111" s="39">
        <v>10</v>
      </c>
      <c r="I111" s="21">
        <f>H111*D6</f>
        <v>1570</v>
      </c>
      <c r="J111" s="21">
        <f t="shared" si="15"/>
        <v>3319</v>
      </c>
      <c r="K111" s="23">
        <f t="shared" si="9"/>
        <v>2.114012738853503</v>
      </c>
    </row>
    <row r="112" spans="4:11" x14ac:dyDescent="0.3">
      <c r="D112">
        <v>104</v>
      </c>
      <c r="E112" s="26">
        <v>44417</v>
      </c>
      <c r="F112" s="26"/>
      <c r="G112" s="21">
        <f>6150*5-6303</f>
        <v>24447</v>
      </c>
      <c r="H112" s="39">
        <v>50</v>
      </c>
      <c r="I112" s="21">
        <f>H112*D6</f>
        <v>7850</v>
      </c>
      <c r="J112" s="21">
        <f t="shared" si="15"/>
        <v>16597</v>
      </c>
      <c r="K112" s="23">
        <f t="shared" si="9"/>
        <v>2.1142675159235669</v>
      </c>
    </row>
    <row r="113" spans="4:11" x14ac:dyDescent="0.3">
      <c r="D113">
        <v>105</v>
      </c>
      <c r="E113" s="26">
        <v>44417</v>
      </c>
      <c r="F113" s="26"/>
      <c r="G113" s="21">
        <f>5300*6-6852</f>
        <v>24948</v>
      </c>
      <c r="H113" s="39">
        <v>60</v>
      </c>
      <c r="I113" s="21">
        <f>H113*D4</f>
        <v>7560</v>
      </c>
      <c r="J113" s="21">
        <f t="shared" si="15"/>
        <v>17388</v>
      </c>
      <c r="K113" s="23">
        <f t="shared" si="9"/>
        <v>2.2999999999999998</v>
      </c>
    </row>
    <row r="114" spans="4:11" x14ac:dyDescent="0.3">
      <c r="D114">
        <v>106</v>
      </c>
      <c r="E114" s="26">
        <v>44417</v>
      </c>
      <c r="F114" s="26"/>
      <c r="G114" s="21">
        <f>10000-1800</f>
        <v>8200</v>
      </c>
      <c r="H114" s="39">
        <v>5</v>
      </c>
      <c r="I114" s="21">
        <f>H114*B4</f>
        <v>2345</v>
      </c>
      <c r="J114" s="21">
        <f t="shared" si="15"/>
        <v>5855</v>
      </c>
      <c r="K114" s="23">
        <f t="shared" si="9"/>
        <v>2.4968017057569298</v>
      </c>
    </row>
    <row r="115" spans="4:11" x14ac:dyDescent="0.3">
      <c r="D115">
        <v>107</v>
      </c>
      <c r="E115" s="26">
        <v>44417</v>
      </c>
      <c r="F115" s="26"/>
      <c r="G115" s="21">
        <f>9150-1681</f>
        <v>7469</v>
      </c>
      <c r="H115" s="39">
        <v>10</v>
      </c>
      <c r="I115" s="21">
        <f>H115*D3</f>
        <v>1970</v>
      </c>
      <c r="J115" s="21">
        <f t="shared" si="15"/>
        <v>5499</v>
      </c>
      <c r="K115" s="23">
        <f t="shared" si="9"/>
        <v>2.7913705583756343</v>
      </c>
    </row>
    <row r="116" spans="4:11" x14ac:dyDescent="0.3">
      <c r="D116">
        <v>108</v>
      </c>
      <c r="E116" s="26">
        <v>44417</v>
      </c>
      <c r="F116" s="26"/>
      <c r="G116" s="21">
        <f>7500-1450</f>
        <v>6050</v>
      </c>
      <c r="H116" s="39">
        <v>10</v>
      </c>
      <c r="I116" s="21">
        <f>H116*D3</f>
        <v>1970</v>
      </c>
      <c r="J116" s="21">
        <f>G116-I116</f>
        <v>4080</v>
      </c>
      <c r="K116" s="23">
        <f t="shared" si="9"/>
        <v>2.0710659898477157</v>
      </c>
    </row>
    <row r="117" spans="4:11" x14ac:dyDescent="0.3">
      <c r="D117">
        <v>109</v>
      </c>
      <c r="E117" s="26">
        <v>44421</v>
      </c>
      <c r="F117" s="26"/>
      <c r="G117" s="21">
        <v>4889</v>
      </c>
      <c r="H117" s="39">
        <v>10</v>
      </c>
      <c r="I117" s="21">
        <f>H117*D6</f>
        <v>1570</v>
      </c>
      <c r="J117" s="21">
        <f t="shared" si="15"/>
        <v>3319</v>
      </c>
      <c r="K117" s="23">
        <f t="shared" si="9"/>
        <v>2.114012738853503</v>
      </c>
    </row>
    <row r="118" spans="4:11" x14ac:dyDescent="0.3">
      <c r="D118">
        <v>110</v>
      </c>
      <c r="E118" s="26">
        <v>44421</v>
      </c>
      <c r="F118" s="26"/>
      <c r="G118" s="21">
        <v>4158</v>
      </c>
      <c r="H118" s="39">
        <v>10</v>
      </c>
      <c r="I118" s="21">
        <f>H118*D4</f>
        <v>1260</v>
      </c>
      <c r="J118" s="21">
        <f t="shared" ref="J118:J134" si="16">G118-I118</f>
        <v>2898</v>
      </c>
      <c r="K118" s="23">
        <f t="shared" ref="K118:K135" si="17">J118/I118</f>
        <v>2.2999999999999998</v>
      </c>
    </row>
    <row r="119" spans="4:11" x14ac:dyDescent="0.3">
      <c r="D119">
        <v>111</v>
      </c>
      <c r="E119" s="26">
        <v>44422</v>
      </c>
      <c r="F119" s="26"/>
      <c r="G119" s="21">
        <v>18150</v>
      </c>
      <c r="H119" s="39">
        <v>30</v>
      </c>
      <c r="I119" s="21">
        <f>H119*D3</f>
        <v>5910</v>
      </c>
      <c r="J119" s="21">
        <f t="shared" si="16"/>
        <v>12240</v>
      </c>
      <c r="K119" s="23">
        <f t="shared" si="17"/>
        <v>2.0710659898477157</v>
      </c>
    </row>
    <row r="120" spans="4:11" x14ac:dyDescent="0.3">
      <c r="D120">
        <v>112</v>
      </c>
      <c r="E120" s="26">
        <v>44423</v>
      </c>
      <c r="F120" s="26"/>
      <c r="G120" s="21">
        <v>33260</v>
      </c>
      <c r="H120" s="39">
        <v>50</v>
      </c>
      <c r="I120" s="21">
        <f>H120*D3</f>
        <v>9850</v>
      </c>
      <c r="J120" s="21">
        <f t="shared" si="16"/>
        <v>23410</v>
      </c>
      <c r="K120" s="23">
        <f t="shared" si="17"/>
        <v>2.3766497461928933</v>
      </c>
    </row>
    <row r="121" spans="4:11" x14ac:dyDescent="0.3">
      <c r="D121">
        <v>113</v>
      </c>
      <c r="E121" s="26">
        <v>44423</v>
      </c>
      <c r="F121" s="26"/>
      <c r="G121" s="21">
        <f>4200-988</f>
        <v>3212</v>
      </c>
      <c r="H121" s="39">
        <v>10</v>
      </c>
      <c r="I121" s="21">
        <f>H121*D2</f>
        <v>990</v>
      </c>
      <c r="J121" s="21">
        <f t="shared" si="16"/>
        <v>2222</v>
      </c>
      <c r="K121" s="23">
        <f t="shared" si="17"/>
        <v>2.2444444444444445</v>
      </c>
    </row>
    <row r="122" spans="4:11" x14ac:dyDescent="0.3">
      <c r="D122">
        <v>114</v>
      </c>
      <c r="E122" s="26">
        <v>44423</v>
      </c>
      <c r="F122" s="26"/>
      <c r="G122" s="21">
        <f>5300-1142</f>
        <v>4158</v>
      </c>
      <c r="H122" s="39">
        <v>10</v>
      </c>
      <c r="I122" s="21">
        <f>H122*D4</f>
        <v>1260</v>
      </c>
      <c r="J122" s="21">
        <f t="shared" si="16"/>
        <v>2898</v>
      </c>
      <c r="K122" s="23">
        <f t="shared" si="17"/>
        <v>2.2999999999999998</v>
      </c>
    </row>
    <row r="123" spans="4:11" x14ac:dyDescent="0.3">
      <c r="D123">
        <v>115</v>
      </c>
      <c r="E123" s="26">
        <v>44423</v>
      </c>
      <c r="F123" s="26"/>
      <c r="G123" s="21">
        <f>6450-1303</f>
        <v>5147</v>
      </c>
      <c r="H123" s="39">
        <v>10</v>
      </c>
      <c r="I123" s="21">
        <f>H123*D6</f>
        <v>1570</v>
      </c>
      <c r="J123" s="21">
        <f t="shared" si="16"/>
        <v>3577</v>
      </c>
      <c r="K123" s="23">
        <f t="shared" si="17"/>
        <v>2.278343949044586</v>
      </c>
    </row>
    <row r="124" spans="4:11" x14ac:dyDescent="0.3">
      <c r="D124">
        <v>116</v>
      </c>
      <c r="E124" s="26">
        <v>44423</v>
      </c>
      <c r="F124" s="26"/>
      <c r="G124" s="21">
        <v>6424</v>
      </c>
      <c r="H124" s="39">
        <v>20</v>
      </c>
      <c r="I124" s="21">
        <f>H124*D2</f>
        <v>1980</v>
      </c>
      <c r="J124" s="21">
        <f t="shared" si="16"/>
        <v>4444</v>
      </c>
      <c r="K124" s="23">
        <f t="shared" si="17"/>
        <v>2.2444444444444445</v>
      </c>
    </row>
    <row r="125" spans="4:11" x14ac:dyDescent="0.3">
      <c r="D125">
        <v>117</v>
      </c>
      <c r="E125" s="26">
        <v>44424</v>
      </c>
      <c r="F125" s="26"/>
      <c r="G125" s="21">
        <v>14680</v>
      </c>
      <c r="H125" s="39">
        <v>20</v>
      </c>
      <c r="I125" s="21">
        <f>H125*D5</f>
        <v>4920</v>
      </c>
      <c r="J125" s="21">
        <f t="shared" si="16"/>
        <v>9760</v>
      </c>
      <c r="K125" s="23">
        <f t="shared" si="17"/>
        <v>1.9837398373983739</v>
      </c>
    </row>
    <row r="126" spans="4:11" x14ac:dyDescent="0.3">
      <c r="D126">
        <v>118</v>
      </c>
      <c r="E126" s="26">
        <v>44424</v>
      </c>
      <c r="F126" s="26"/>
      <c r="G126" s="21">
        <v>7340</v>
      </c>
      <c r="H126" s="39">
        <v>5</v>
      </c>
      <c r="I126" s="21">
        <f>H126*B4</f>
        <v>2345</v>
      </c>
      <c r="J126" s="21">
        <f t="shared" si="16"/>
        <v>4995</v>
      </c>
      <c r="K126" s="23">
        <f t="shared" si="17"/>
        <v>2.1300639658848612</v>
      </c>
    </row>
    <row r="127" spans="4:11" x14ac:dyDescent="0.3">
      <c r="D127">
        <v>119</v>
      </c>
      <c r="E127" s="26">
        <v>44425</v>
      </c>
      <c r="F127" s="26" t="s">
        <v>100</v>
      </c>
      <c r="G127" s="21">
        <v>19728</v>
      </c>
      <c r="H127" s="39">
        <v>20</v>
      </c>
      <c r="I127" s="21">
        <f>H127*B3</f>
        <v>6560</v>
      </c>
      <c r="J127" s="21">
        <f t="shared" si="16"/>
        <v>13168</v>
      </c>
      <c r="K127" s="23">
        <f t="shared" si="17"/>
        <v>2.0073170731707317</v>
      </c>
    </row>
    <row r="128" spans="4:11" x14ac:dyDescent="0.3">
      <c r="D128">
        <v>120</v>
      </c>
      <c r="E128" s="26">
        <v>44425</v>
      </c>
      <c r="F128" s="26" t="s">
        <v>94</v>
      </c>
      <c r="G128" s="21">
        <v>25696</v>
      </c>
      <c r="H128" s="39">
        <v>80</v>
      </c>
      <c r="I128" s="21">
        <f>H128*D2</f>
        <v>7920</v>
      </c>
      <c r="J128" s="21">
        <f t="shared" si="16"/>
        <v>17776</v>
      </c>
      <c r="K128" s="23">
        <f t="shared" si="17"/>
        <v>2.2444444444444445</v>
      </c>
    </row>
    <row r="129" spans="4:16" x14ac:dyDescent="0.3">
      <c r="D129">
        <v>121</v>
      </c>
      <c r="E129" s="26">
        <v>44426</v>
      </c>
      <c r="F129" s="26" t="s">
        <v>95</v>
      </c>
      <c r="G129" s="21">
        <v>20790</v>
      </c>
      <c r="H129" s="39">
        <v>50</v>
      </c>
      <c r="I129" s="21">
        <f>H129*D4</f>
        <v>6300</v>
      </c>
      <c r="J129" s="21">
        <f t="shared" si="16"/>
        <v>14490</v>
      </c>
      <c r="K129" s="23">
        <f t="shared" si="17"/>
        <v>2.2999999999999998</v>
      </c>
    </row>
    <row r="130" spans="4:16" x14ac:dyDescent="0.3">
      <c r="D130">
        <v>122</v>
      </c>
      <c r="E130" s="26">
        <v>44426</v>
      </c>
      <c r="F130" s="26" t="s">
        <v>97</v>
      </c>
      <c r="G130" s="21">
        <f>6652</f>
        <v>6652</v>
      </c>
      <c r="H130" s="39">
        <v>10</v>
      </c>
      <c r="I130" s="21">
        <f>H130*D7</f>
        <v>2200</v>
      </c>
      <c r="J130" s="21">
        <f t="shared" si="16"/>
        <v>4452</v>
      </c>
      <c r="K130" s="23">
        <f t="shared" si="17"/>
        <v>2.0236363636363635</v>
      </c>
    </row>
    <row r="131" spans="4:16" x14ac:dyDescent="0.3">
      <c r="D131">
        <v>123</v>
      </c>
      <c r="E131" s="26">
        <v>44426</v>
      </c>
      <c r="F131" s="26" t="s">
        <v>106</v>
      </c>
      <c r="G131" s="21">
        <f>9200*2-3376</f>
        <v>15024</v>
      </c>
      <c r="H131" s="39">
        <f>10</f>
        <v>10</v>
      </c>
      <c r="I131" s="21">
        <f>10*B5</f>
        <v>5000</v>
      </c>
      <c r="J131" s="21">
        <f t="shared" si="16"/>
        <v>10024</v>
      </c>
      <c r="K131" s="23">
        <f t="shared" si="17"/>
        <v>2.0047999999999999</v>
      </c>
    </row>
    <row r="132" spans="4:16" x14ac:dyDescent="0.3">
      <c r="D132">
        <v>124</v>
      </c>
      <c r="E132" s="26">
        <v>44426</v>
      </c>
      <c r="F132" s="26" t="s">
        <v>99</v>
      </c>
      <c r="G132" s="21">
        <f>9000-1660</f>
        <v>7340</v>
      </c>
      <c r="H132" s="39">
        <v>10</v>
      </c>
      <c r="I132" s="21">
        <f>H132*D5</f>
        <v>2460</v>
      </c>
      <c r="J132" s="21">
        <f t="shared" si="16"/>
        <v>4880</v>
      </c>
      <c r="K132" s="23">
        <f t="shared" si="17"/>
        <v>1.9837398373983739</v>
      </c>
      <c r="M132">
        <v>2</v>
      </c>
      <c r="N132">
        <v>10</v>
      </c>
      <c r="O132" s="6">
        <f>N132*E2</f>
        <v>3040</v>
      </c>
      <c r="P132" s="10">
        <f>N132*D2</f>
        <v>990</v>
      </c>
    </row>
    <row r="133" spans="4:16" x14ac:dyDescent="0.3">
      <c r="D133">
        <v>125</v>
      </c>
      <c r="E133" s="26">
        <v>44426</v>
      </c>
      <c r="F133" s="26" t="s">
        <v>96</v>
      </c>
      <c r="G133" s="21">
        <f>6450-1303</f>
        <v>5147</v>
      </c>
      <c r="H133" s="39">
        <f>10</f>
        <v>10</v>
      </c>
      <c r="I133" s="21">
        <f>10*D6</f>
        <v>1570</v>
      </c>
      <c r="J133" s="21">
        <f t="shared" si="16"/>
        <v>3577</v>
      </c>
      <c r="K133" s="23">
        <f t="shared" si="17"/>
        <v>2.278343949044586</v>
      </c>
      <c r="M133">
        <v>3</v>
      </c>
      <c r="N133">
        <v>10</v>
      </c>
      <c r="O133" s="6">
        <f>N133*E4</f>
        <v>4070</v>
      </c>
    </row>
    <row r="134" spans="4:16" x14ac:dyDescent="0.3">
      <c r="D134">
        <v>126</v>
      </c>
      <c r="E134" s="26">
        <v>44426</v>
      </c>
      <c r="F134" s="26" t="s">
        <v>100</v>
      </c>
      <c r="G134" s="21">
        <f>6200*3-3804</f>
        <v>14796</v>
      </c>
      <c r="H134" s="39">
        <v>15</v>
      </c>
      <c r="I134" s="21">
        <f>H134*B3</f>
        <v>4920</v>
      </c>
      <c r="J134" s="21">
        <f t="shared" si="16"/>
        <v>9876</v>
      </c>
      <c r="K134" s="23">
        <f t="shared" si="17"/>
        <v>2.0073170731707317</v>
      </c>
      <c r="M134">
        <v>5</v>
      </c>
      <c r="N134">
        <v>5</v>
      </c>
      <c r="O134" s="6">
        <f>N134*E6</f>
        <v>2595</v>
      </c>
    </row>
    <row r="135" spans="4:16" x14ac:dyDescent="0.3">
      <c r="D135">
        <v>127</v>
      </c>
      <c r="E135" s="26">
        <v>44426</v>
      </c>
      <c r="F135" s="26" t="s">
        <v>95</v>
      </c>
      <c r="G135" s="21">
        <f>5300-1142</f>
        <v>4158</v>
      </c>
      <c r="H135" s="39">
        <v>10</v>
      </c>
      <c r="I135" s="21">
        <f>H135*D4</f>
        <v>1260</v>
      </c>
      <c r="J135" s="21">
        <f>G135-I135</f>
        <v>2898</v>
      </c>
      <c r="K135" s="23">
        <f t="shared" si="17"/>
        <v>2.2999999999999998</v>
      </c>
      <c r="M135">
        <v>8</v>
      </c>
      <c r="N135">
        <v>3</v>
      </c>
      <c r="O135" s="6">
        <f>N135*E7</f>
        <v>1995</v>
      </c>
    </row>
    <row r="136" spans="4:16" x14ac:dyDescent="0.3">
      <c r="D136">
        <v>128</v>
      </c>
      <c r="E136" s="26">
        <v>44428</v>
      </c>
      <c r="F136" s="26" t="s">
        <v>101</v>
      </c>
      <c r="G136" s="21">
        <v>14680</v>
      </c>
      <c r="H136" s="39">
        <v>10</v>
      </c>
      <c r="I136" s="21">
        <f>H136*B4</f>
        <v>4690</v>
      </c>
      <c r="J136" s="21">
        <f>G136-I136</f>
        <v>9990</v>
      </c>
      <c r="K136" s="23">
        <f>J136/I136</f>
        <v>2.1300639658848612</v>
      </c>
      <c r="M136" s="53" t="s">
        <v>139</v>
      </c>
      <c r="N136">
        <v>5</v>
      </c>
      <c r="O136">
        <f>5*150</f>
        <v>750</v>
      </c>
    </row>
    <row r="137" spans="4:16" x14ac:dyDescent="0.3">
      <c r="D137">
        <v>129</v>
      </c>
      <c r="E137" s="26">
        <v>44429</v>
      </c>
      <c r="F137" s="26" t="s">
        <v>109</v>
      </c>
      <c r="G137" s="21">
        <v>7512</v>
      </c>
      <c r="H137" s="39">
        <v>5</v>
      </c>
      <c r="I137" s="21">
        <f>H137*B5</f>
        <v>2500</v>
      </c>
      <c r="J137" s="21">
        <f>G137-I137</f>
        <v>5012</v>
      </c>
      <c r="K137" s="23">
        <f>J137/I137</f>
        <v>2.0047999999999999</v>
      </c>
      <c r="M137" t="s">
        <v>140</v>
      </c>
      <c r="N137">
        <v>5</v>
      </c>
      <c r="O137">
        <f>5*200</f>
        <v>1000</v>
      </c>
    </row>
    <row r="138" spans="4:16" x14ac:dyDescent="0.3">
      <c r="D138">
        <v>130</v>
      </c>
      <c r="E138" s="26">
        <v>44430</v>
      </c>
      <c r="F138" s="26" t="s">
        <v>94</v>
      </c>
      <c r="G138" s="21">
        <v>6424</v>
      </c>
      <c r="H138" s="39">
        <v>20</v>
      </c>
      <c r="I138" s="21">
        <f>H138*D2</f>
        <v>1980</v>
      </c>
      <c r="J138" s="21">
        <f>G138-I138</f>
        <v>4444</v>
      </c>
      <c r="K138" s="23">
        <f>J138/I138</f>
        <v>2.2444444444444445</v>
      </c>
    </row>
    <row r="139" spans="4:16" x14ac:dyDescent="0.3">
      <c r="D139">
        <v>131</v>
      </c>
      <c r="E139" s="26">
        <v>44436</v>
      </c>
      <c r="F139" s="26" t="s">
        <v>99</v>
      </c>
      <c r="G139" s="21">
        <v>7340</v>
      </c>
      <c r="H139" s="39">
        <v>10</v>
      </c>
      <c r="I139" s="21">
        <f>H139*D5</f>
        <v>2460</v>
      </c>
      <c r="J139" s="21">
        <f>G139-I139</f>
        <v>4880</v>
      </c>
      <c r="K139" s="23">
        <f>J139/I139</f>
        <v>1.9837398373983739</v>
      </c>
    </row>
    <row r="140" spans="4:16" x14ac:dyDescent="0.3">
      <c r="D140">
        <v>132</v>
      </c>
      <c r="E140" s="26">
        <v>44438</v>
      </c>
      <c r="F140" s="26" t="s">
        <v>109</v>
      </c>
      <c r="G140" s="21">
        <f>9200-1688</f>
        <v>7512</v>
      </c>
      <c r="H140" s="39">
        <v>5</v>
      </c>
      <c r="I140" s="21">
        <f>H140*B5</f>
        <v>2500</v>
      </c>
      <c r="J140" s="21">
        <f t="shared" ref="J140:J145" si="18">G140-I140</f>
        <v>5012</v>
      </c>
      <c r="K140" s="23">
        <f t="shared" ref="K140:K150" si="19">J140/I140</f>
        <v>2.0047999999999999</v>
      </c>
    </row>
    <row r="141" spans="4:16" x14ac:dyDescent="0.3">
      <c r="D141">
        <v>133</v>
      </c>
      <c r="E141" s="26">
        <v>44438</v>
      </c>
      <c r="F141" s="26" t="s">
        <v>98</v>
      </c>
      <c r="G141" s="21">
        <f>8200-1548</f>
        <v>6652</v>
      </c>
      <c r="H141" s="39">
        <v>10</v>
      </c>
      <c r="I141" s="21">
        <f>H141*D3</f>
        <v>1970</v>
      </c>
      <c r="J141" s="21">
        <f t="shared" si="18"/>
        <v>4682</v>
      </c>
      <c r="K141" s="23">
        <f t="shared" si="19"/>
        <v>2.3766497461928933</v>
      </c>
    </row>
    <row r="142" spans="4:16" x14ac:dyDescent="0.3">
      <c r="D142">
        <v>134</v>
      </c>
      <c r="E142" s="26">
        <v>44439</v>
      </c>
      <c r="F142" s="26" t="s">
        <v>101</v>
      </c>
      <c r="G142" s="21">
        <f>9000-1660</f>
        <v>7340</v>
      </c>
      <c r="H142" s="39">
        <v>5</v>
      </c>
      <c r="I142" s="21">
        <f>H142*B4</f>
        <v>2345</v>
      </c>
      <c r="J142" s="21">
        <f t="shared" si="18"/>
        <v>4995</v>
      </c>
      <c r="K142" s="23">
        <f t="shared" si="19"/>
        <v>2.1300639658848612</v>
      </c>
    </row>
    <row r="143" spans="4:16" x14ac:dyDescent="0.3">
      <c r="D143">
        <v>135</v>
      </c>
      <c r="E143" s="26">
        <v>44439</v>
      </c>
      <c r="F143" s="26" t="s">
        <v>96</v>
      </c>
      <c r="G143" s="21">
        <f>6450-1303</f>
        <v>5147</v>
      </c>
      <c r="H143" s="39">
        <v>10</v>
      </c>
      <c r="I143" s="21">
        <f>H143*D6</f>
        <v>1570</v>
      </c>
      <c r="J143" s="21">
        <f t="shared" si="18"/>
        <v>3577</v>
      </c>
      <c r="K143" s="23">
        <f t="shared" si="19"/>
        <v>2.278343949044586</v>
      </c>
    </row>
    <row r="144" spans="4:16" x14ac:dyDescent="0.3">
      <c r="D144">
        <v>136</v>
      </c>
      <c r="E144" s="26">
        <v>44439</v>
      </c>
      <c r="F144" s="26" t="s">
        <v>96</v>
      </c>
      <c r="G144" s="21">
        <f>6450-1303</f>
        <v>5147</v>
      </c>
      <c r="H144" s="39">
        <v>10</v>
      </c>
      <c r="I144" s="21">
        <f>H144*D6</f>
        <v>1570</v>
      </c>
      <c r="J144" s="21">
        <f t="shared" si="18"/>
        <v>3577</v>
      </c>
      <c r="K144" s="23">
        <f t="shared" si="19"/>
        <v>2.278343949044586</v>
      </c>
    </row>
    <row r="145" spans="2:12" x14ac:dyDescent="0.3">
      <c r="D145">
        <v>137</v>
      </c>
      <c r="E145" s="26">
        <v>44439</v>
      </c>
      <c r="F145" s="26" t="s">
        <v>95</v>
      </c>
      <c r="G145" s="21">
        <f>5300-1142</f>
        <v>4158</v>
      </c>
      <c r="H145" s="39">
        <v>10</v>
      </c>
      <c r="I145" s="21">
        <f>H145*D4</f>
        <v>1260</v>
      </c>
      <c r="J145" s="21">
        <f t="shared" si="18"/>
        <v>2898</v>
      </c>
      <c r="K145" s="23">
        <f t="shared" si="19"/>
        <v>2.2999999999999998</v>
      </c>
    </row>
    <row r="146" spans="2:12" x14ac:dyDescent="0.3">
      <c r="D146">
        <v>138</v>
      </c>
      <c r="E146" s="26">
        <v>44440</v>
      </c>
      <c r="F146" s="26" t="s">
        <v>97</v>
      </c>
      <c r="G146" s="21">
        <v>13304</v>
      </c>
      <c r="H146" s="39">
        <v>20</v>
      </c>
      <c r="I146" s="21">
        <f>H146*D7</f>
        <v>4400</v>
      </c>
      <c r="J146" s="21">
        <f t="shared" ref="J146:J151" si="20">G146-I146</f>
        <v>8904</v>
      </c>
      <c r="K146" s="23">
        <f t="shared" si="19"/>
        <v>2.0236363636363635</v>
      </c>
    </row>
    <row r="147" spans="2:12" x14ac:dyDescent="0.3">
      <c r="D147">
        <v>139</v>
      </c>
      <c r="E147" s="26">
        <v>44441</v>
      </c>
      <c r="F147" s="26" t="s">
        <v>96</v>
      </c>
      <c r="G147" s="21">
        <f>6450*3-3909</f>
        <v>15441</v>
      </c>
      <c r="H147" s="39">
        <v>30</v>
      </c>
      <c r="I147" s="21">
        <f>H147*D6</f>
        <v>4710</v>
      </c>
      <c r="J147" s="21">
        <f t="shared" si="20"/>
        <v>10731</v>
      </c>
      <c r="K147" s="23">
        <f t="shared" si="19"/>
        <v>2.278343949044586</v>
      </c>
    </row>
    <row r="148" spans="2:12" x14ac:dyDescent="0.3">
      <c r="D148">
        <v>140</v>
      </c>
      <c r="E148" s="26">
        <v>44441</v>
      </c>
      <c r="F148" s="26" t="s">
        <v>95</v>
      </c>
      <c r="G148" s="21">
        <f>5300*3-3426</f>
        <v>12474</v>
      </c>
      <c r="H148" s="39">
        <v>30</v>
      </c>
      <c r="I148" s="21">
        <f>H148*D4</f>
        <v>3780</v>
      </c>
      <c r="J148" s="21">
        <f t="shared" si="20"/>
        <v>8694</v>
      </c>
      <c r="K148" s="23">
        <f t="shared" si="19"/>
        <v>2.2999999999999998</v>
      </c>
    </row>
    <row r="149" spans="2:12" x14ac:dyDescent="0.3">
      <c r="D149">
        <v>141</v>
      </c>
      <c r="E149" s="26">
        <v>44442</v>
      </c>
      <c r="F149" s="26" t="s">
        <v>101</v>
      </c>
      <c r="G149" s="21">
        <v>7340</v>
      </c>
      <c r="H149" s="39">
        <v>5</v>
      </c>
      <c r="I149" s="21">
        <f>H149*B4</f>
        <v>2345</v>
      </c>
      <c r="J149" s="21">
        <f t="shared" si="20"/>
        <v>4995</v>
      </c>
      <c r="K149" s="23">
        <f t="shared" si="19"/>
        <v>2.1300639658848612</v>
      </c>
    </row>
    <row r="150" spans="2:12" x14ac:dyDescent="0.3">
      <c r="D150">
        <v>142</v>
      </c>
      <c r="E150" s="26">
        <v>44444</v>
      </c>
      <c r="F150" s="26" t="s">
        <v>101</v>
      </c>
      <c r="G150" s="21">
        <f>7340*2</f>
        <v>14680</v>
      </c>
      <c r="H150" s="39">
        <v>10</v>
      </c>
      <c r="I150" s="21">
        <f>H150*B4</f>
        <v>4690</v>
      </c>
      <c r="J150" s="21">
        <f t="shared" si="20"/>
        <v>9990</v>
      </c>
      <c r="K150" s="23">
        <f t="shared" si="19"/>
        <v>2.1300639658848612</v>
      </c>
    </row>
    <row r="151" spans="2:12" x14ac:dyDescent="0.3">
      <c r="D151">
        <v>143</v>
      </c>
      <c r="E151" s="26">
        <v>44444</v>
      </c>
      <c r="F151" s="26" t="s">
        <v>102</v>
      </c>
      <c r="G151" s="21">
        <v>7512</v>
      </c>
      <c r="H151" s="39">
        <v>5</v>
      </c>
      <c r="I151" s="21">
        <f>H151*B5</f>
        <v>2500</v>
      </c>
      <c r="J151" s="21">
        <f t="shared" si="20"/>
        <v>5012</v>
      </c>
      <c r="K151" s="23">
        <f t="shared" ref="K151:K161" si="21">J151/I151</f>
        <v>2.0047999999999999</v>
      </c>
    </row>
    <row r="152" spans="2:12" x14ac:dyDescent="0.3">
      <c r="D152">
        <v>144</v>
      </c>
      <c r="E152" s="26">
        <v>44445</v>
      </c>
      <c r="F152" s="26" t="s">
        <v>102</v>
      </c>
      <c r="G152" s="21">
        <v>7512</v>
      </c>
      <c r="H152" s="39">
        <v>5</v>
      </c>
      <c r="I152" s="21">
        <f>H152*B5</f>
        <v>2500</v>
      </c>
      <c r="J152" s="21">
        <f t="shared" ref="J152:J161" si="22">G152-I152</f>
        <v>5012</v>
      </c>
      <c r="K152" s="23">
        <f t="shared" si="21"/>
        <v>2.0047999999999999</v>
      </c>
    </row>
    <row r="153" spans="2:12" x14ac:dyDescent="0.3">
      <c r="D153">
        <v>145</v>
      </c>
      <c r="E153" s="26">
        <v>44445</v>
      </c>
      <c r="F153" s="22" t="s">
        <v>98</v>
      </c>
      <c r="G153" s="37">
        <v>6652</v>
      </c>
      <c r="H153" s="40">
        <v>10</v>
      </c>
      <c r="I153" s="21">
        <f>H153*D3</f>
        <v>1970</v>
      </c>
      <c r="J153" s="21">
        <f t="shared" si="22"/>
        <v>4682</v>
      </c>
      <c r="K153" s="32">
        <f t="shared" si="21"/>
        <v>2.3766497461928933</v>
      </c>
    </row>
    <row r="154" spans="2:12" x14ac:dyDescent="0.3">
      <c r="D154">
        <v>146</v>
      </c>
      <c r="E154" s="26">
        <v>44445</v>
      </c>
      <c r="F154" s="22" t="s">
        <v>100</v>
      </c>
      <c r="G154" s="37">
        <v>9864</v>
      </c>
      <c r="H154" s="40">
        <v>10</v>
      </c>
      <c r="I154" s="21">
        <f>H154*B3</f>
        <v>3280</v>
      </c>
      <c r="J154" s="21">
        <f t="shared" si="22"/>
        <v>6584</v>
      </c>
      <c r="K154" s="32">
        <f t="shared" si="21"/>
        <v>2.0073170731707317</v>
      </c>
    </row>
    <row r="155" spans="2:12" x14ac:dyDescent="0.3">
      <c r="D155">
        <v>147</v>
      </c>
      <c r="E155" s="26">
        <v>44446</v>
      </c>
      <c r="F155" s="38" t="s">
        <v>102</v>
      </c>
      <c r="G155" s="21">
        <f>9200-1688</f>
        <v>7512</v>
      </c>
      <c r="H155" s="40">
        <v>5</v>
      </c>
      <c r="I155" s="21">
        <f>H155*B5</f>
        <v>2500</v>
      </c>
      <c r="J155" s="21">
        <f t="shared" si="22"/>
        <v>5012</v>
      </c>
      <c r="K155" s="32">
        <f t="shared" si="21"/>
        <v>2.0047999999999999</v>
      </c>
    </row>
    <row r="156" spans="2:12" x14ac:dyDescent="0.3">
      <c r="D156">
        <v>148</v>
      </c>
      <c r="E156" s="26">
        <v>44446</v>
      </c>
      <c r="F156" s="38" t="s">
        <v>101</v>
      </c>
      <c r="G156" s="21">
        <f>9000-1660</f>
        <v>7340</v>
      </c>
      <c r="H156" s="40">
        <v>5</v>
      </c>
      <c r="I156" s="21">
        <f>H156*B4</f>
        <v>2345</v>
      </c>
      <c r="J156" s="21">
        <f t="shared" si="22"/>
        <v>4995</v>
      </c>
      <c r="K156" s="32">
        <f t="shared" si="21"/>
        <v>2.1300639658848612</v>
      </c>
      <c r="L156">
        <f>G156/I156</f>
        <v>3.1300639658848612</v>
      </c>
    </row>
    <row r="157" spans="2:12" x14ac:dyDescent="0.3">
      <c r="D157">
        <v>149</v>
      </c>
      <c r="E157" s="26">
        <v>44446</v>
      </c>
      <c r="F157" s="38" t="s">
        <v>100</v>
      </c>
      <c r="G157" s="21">
        <f>6200-1268</f>
        <v>4932</v>
      </c>
      <c r="H157" s="40">
        <v>5</v>
      </c>
      <c r="I157" s="21">
        <f>H157*B3</f>
        <v>1640</v>
      </c>
      <c r="J157" s="21">
        <f t="shared" si="22"/>
        <v>3292</v>
      </c>
      <c r="K157" s="32">
        <f t="shared" si="21"/>
        <v>2.0073170731707317</v>
      </c>
      <c r="L157">
        <f>G157/I157</f>
        <v>3.0073170731707317</v>
      </c>
    </row>
    <row r="158" spans="2:12" x14ac:dyDescent="0.3">
      <c r="D158">
        <v>150</v>
      </c>
      <c r="E158" s="26">
        <v>44446</v>
      </c>
      <c r="F158" s="38" t="s">
        <v>96</v>
      </c>
      <c r="G158" s="21">
        <f>6450-1303</f>
        <v>5147</v>
      </c>
      <c r="H158" s="40">
        <v>10</v>
      </c>
      <c r="I158" s="21">
        <f>H158*D6</f>
        <v>1570</v>
      </c>
      <c r="J158" s="21">
        <f t="shared" si="22"/>
        <v>3577</v>
      </c>
      <c r="K158" s="32">
        <f t="shared" si="21"/>
        <v>2.278343949044586</v>
      </c>
      <c r="L158">
        <f>G158/I158</f>
        <v>3.278343949044586</v>
      </c>
    </row>
    <row r="159" spans="2:12" x14ac:dyDescent="0.3">
      <c r="B159">
        <f>150*C159</f>
        <v>225360</v>
      </c>
      <c r="C159">
        <f>7512/5</f>
        <v>1502.4</v>
      </c>
      <c r="D159">
        <v>151</v>
      </c>
      <c r="E159" s="26">
        <v>44446</v>
      </c>
      <c r="F159" s="38" t="s">
        <v>95</v>
      </c>
      <c r="G159" s="21">
        <v>4158</v>
      </c>
      <c r="H159" s="40">
        <v>10</v>
      </c>
      <c r="I159" s="21">
        <f>H159*D4</f>
        <v>1260</v>
      </c>
      <c r="J159" s="21">
        <f t="shared" si="22"/>
        <v>2898</v>
      </c>
      <c r="K159" s="32">
        <f t="shared" si="21"/>
        <v>2.2999999999999998</v>
      </c>
      <c r="L159">
        <f>G159/I159</f>
        <v>3.3</v>
      </c>
    </row>
    <row r="160" spans="2:12" x14ac:dyDescent="0.3">
      <c r="D160">
        <v>152</v>
      </c>
      <c r="E160" s="26">
        <v>44446</v>
      </c>
      <c r="F160" s="38" t="s">
        <v>100</v>
      </c>
      <c r="G160" s="21">
        <v>9863</v>
      </c>
      <c r="H160" s="40">
        <v>10</v>
      </c>
      <c r="I160" s="21">
        <f>H160*B3</f>
        <v>3280</v>
      </c>
      <c r="J160" s="21">
        <f t="shared" si="22"/>
        <v>6583</v>
      </c>
      <c r="K160" s="32">
        <f t="shared" si="21"/>
        <v>2.0070121951219511</v>
      </c>
    </row>
    <row r="161" spans="4:11" x14ac:dyDescent="0.3">
      <c r="D161">
        <v>153</v>
      </c>
      <c r="E161" s="26">
        <v>44447</v>
      </c>
      <c r="F161" s="22" t="s">
        <v>100</v>
      </c>
      <c r="G161" s="21">
        <v>9863</v>
      </c>
      <c r="H161" s="40">
        <v>10</v>
      </c>
      <c r="I161" s="21">
        <f>H161*B3</f>
        <v>3280</v>
      </c>
      <c r="J161" s="21">
        <f t="shared" si="22"/>
        <v>6583</v>
      </c>
      <c r="K161" s="32">
        <f t="shared" si="21"/>
        <v>2.0070121951219511</v>
      </c>
    </row>
    <row r="162" spans="4:11" x14ac:dyDescent="0.3">
      <c r="D162">
        <v>154</v>
      </c>
      <c r="E162" s="26">
        <v>44447</v>
      </c>
      <c r="F162" s="22" t="s">
        <v>98</v>
      </c>
      <c r="G162" s="37">
        <v>6652</v>
      </c>
      <c r="H162" s="40">
        <v>10</v>
      </c>
      <c r="I162" s="21">
        <f>H162*D3</f>
        <v>1970</v>
      </c>
      <c r="J162" s="21">
        <f t="shared" ref="J162:J172" si="23">G162-I162</f>
        <v>4682</v>
      </c>
      <c r="K162" s="32">
        <f t="shared" ref="K162:K225" si="24">J162/I162</f>
        <v>2.3766497461928933</v>
      </c>
    </row>
    <row r="163" spans="4:11" x14ac:dyDescent="0.3">
      <c r="D163">
        <v>155</v>
      </c>
      <c r="E163" s="26">
        <v>44447</v>
      </c>
      <c r="F163" s="22" t="s">
        <v>112</v>
      </c>
      <c r="G163" s="21">
        <v>2954</v>
      </c>
      <c r="H163" s="22">
        <v>20</v>
      </c>
      <c r="I163" s="41">
        <f>B6*H163</f>
        <v>960</v>
      </c>
      <c r="J163" s="41">
        <f t="shared" si="23"/>
        <v>1994</v>
      </c>
      <c r="K163" s="23">
        <f t="shared" si="24"/>
        <v>2.0770833333333334</v>
      </c>
    </row>
    <row r="164" spans="4:11" x14ac:dyDescent="0.3">
      <c r="D164">
        <v>156</v>
      </c>
      <c r="E164" s="26">
        <v>44450</v>
      </c>
      <c r="F164" s="22" t="s">
        <v>112</v>
      </c>
      <c r="G164" s="21">
        <v>3000</v>
      </c>
      <c r="H164" s="22">
        <v>20</v>
      </c>
      <c r="I164" s="41">
        <f>H164*B6</f>
        <v>960</v>
      </c>
      <c r="J164" s="41">
        <f t="shared" si="23"/>
        <v>2040</v>
      </c>
      <c r="K164" s="23">
        <f t="shared" si="24"/>
        <v>2.125</v>
      </c>
    </row>
    <row r="165" spans="4:11" x14ac:dyDescent="0.3">
      <c r="D165">
        <v>157</v>
      </c>
      <c r="E165" s="26">
        <v>44450</v>
      </c>
      <c r="F165" s="22" t="s">
        <v>113</v>
      </c>
      <c r="G165" s="21">
        <v>4200</v>
      </c>
      <c r="H165" s="22">
        <v>20</v>
      </c>
      <c r="I165" s="41">
        <f>H165*B7</f>
        <v>1400</v>
      </c>
      <c r="J165" s="41">
        <f t="shared" si="23"/>
        <v>2800</v>
      </c>
      <c r="K165" s="23">
        <f t="shared" si="24"/>
        <v>2</v>
      </c>
    </row>
    <row r="166" spans="4:11" x14ac:dyDescent="0.3">
      <c r="D166">
        <v>158</v>
      </c>
      <c r="E166" s="26">
        <v>44451</v>
      </c>
      <c r="F166" s="22" t="s">
        <v>102</v>
      </c>
      <c r="G166" s="21">
        <v>7512</v>
      </c>
      <c r="H166" s="22">
        <v>5</v>
      </c>
      <c r="I166" s="41">
        <f>H166*B5</f>
        <v>2500</v>
      </c>
      <c r="J166" s="41">
        <f t="shared" si="23"/>
        <v>5012</v>
      </c>
      <c r="K166" s="23">
        <f t="shared" si="24"/>
        <v>2.0047999999999999</v>
      </c>
    </row>
    <row r="167" spans="4:11" x14ac:dyDescent="0.3">
      <c r="D167">
        <v>159</v>
      </c>
      <c r="E167" s="26">
        <v>44455</v>
      </c>
      <c r="F167" s="22" t="s">
        <v>102</v>
      </c>
      <c r="G167" s="21">
        <f>7512*2</f>
        <v>15024</v>
      </c>
      <c r="H167" s="22">
        <v>10</v>
      </c>
      <c r="I167" s="41">
        <f>H167*B5</f>
        <v>5000</v>
      </c>
      <c r="J167" s="41">
        <f t="shared" si="23"/>
        <v>10024</v>
      </c>
      <c r="K167" s="23">
        <f t="shared" si="24"/>
        <v>2.0047999999999999</v>
      </c>
    </row>
    <row r="168" spans="4:11" x14ac:dyDescent="0.3">
      <c r="D168">
        <v>160</v>
      </c>
      <c r="E168" s="26">
        <v>44455</v>
      </c>
      <c r="F168" s="22" t="s">
        <v>112</v>
      </c>
      <c r="G168" s="21">
        <v>2954</v>
      </c>
      <c r="H168" s="22">
        <v>20</v>
      </c>
      <c r="I168" s="41">
        <f>H168*B6</f>
        <v>960</v>
      </c>
      <c r="J168" s="41">
        <f t="shared" si="23"/>
        <v>1994</v>
      </c>
      <c r="K168" s="23">
        <f t="shared" si="24"/>
        <v>2.0770833333333334</v>
      </c>
    </row>
    <row r="169" spans="4:11" x14ac:dyDescent="0.3">
      <c r="D169">
        <v>161</v>
      </c>
      <c r="E169" s="22"/>
      <c r="F169" s="22" t="s">
        <v>112</v>
      </c>
      <c r="G169" s="21">
        <v>2954</v>
      </c>
      <c r="H169" s="22">
        <v>20</v>
      </c>
      <c r="I169" s="41">
        <f>H169*B6</f>
        <v>960</v>
      </c>
      <c r="J169" s="41">
        <f t="shared" si="23"/>
        <v>1994</v>
      </c>
      <c r="K169" s="23">
        <f t="shared" si="24"/>
        <v>2.0770833333333334</v>
      </c>
    </row>
    <row r="170" spans="4:11" x14ac:dyDescent="0.3">
      <c r="D170">
        <v>162</v>
      </c>
      <c r="E170" s="26">
        <v>44459</v>
      </c>
      <c r="F170" s="22" t="s">
        <v>102</v>
      </c>
      <c r="G170" s="21">
        <f>7512*3</f>
        <v>22536</v>
      </c>
      <c r="H170" s="22">
        <v>15</v>
      </c>
      <c r="I170" s="41">
        <f>H170*B5</f>
        <v>7500</v>
      </c>
      <c r="J170" s="41">
        <f t="shared" si="23"/>
        <v>15036</v>
      </c>
      <c r="K170" s="23">
        <f t="shared" si="24"/>
        <v>2.0047999999999999</v>
      </c>
    </row>
    <row r="171" spans="4:11" x14ac:dyDescent="0.3">
      <c r="D171">
        <v>163</v>
      </c>
      <c r="E171" s="26">
        <v>44461</v>
      </c>
      <c r="F171" s="22" t="s">
        <v>102</v>
      </c>
      <c r="G171" s="21">
        <v>7512</v>
      </c>
      <c r="H171" s="22">
        <v>5</v>
      </c>
      <c r="I171" s="41">
        <f>H171*B5</f>
        <v>2500</v>
      </c>
      <c r="J171" s="41">
        <f t="shared" si="23"/>
        <v>5012</v>
      </c>
      <c r="K171" s="23">
        <f t="shared" si="24"/>
        <v>2.0047999999999999</v>
      </c>
    </row>
    <row r="172" spans="4:11" x14ac:dyDescent="0.3">
      <c r="D172">
        <v>164</v>
      </c>
      <c r="E172" s="26">
        <v>44463</v>
      </c>
      <c r="F172" s="22" t="s">
        <v>101</v>
      </c>
      <c r="G172" s="21">
        <v>22020</v>
      </c>
      <c r="H172" s="22">
        <v>15</v>
      </c>
      <c r="I172" s="41">
        <f>H172*B4</f>
        <v>7035</v>
      </c>
      <c r="J172" s="41">
        <f t="shared" si="23"/>
        <v>14985</v>
      </c>
      <c r="K172" s="23">
        <f t="shared" si="24"/>
        <v>2.1300639658848612</v>
      </c>
    </row>
    <row r="173" spans="4:11" x14ac:dyDescent="0.3">
      <c r="D173">
        <v>165</v>
      </c>
      <c r="E173" s="26">
        <v>44374</v>
      </c>
      <c r="F173" s="22" t="s">
        <v>101</v>
      </c>
      <c r="G173" s="21">
        <v>7340</v>
      </c>
      <c r="H173" s="22">
        <v>5</v>
      </c>
      <c r="I173" s="41">
        <f>H173*B4</f>
        <v>2345</v>
      </c>
      <c r="J173" s="41">
        <f t="shared" ref="J173:J179" si="25">G173-I173</f>
        <v>4995</v>
      </c>
      <c r="K173" s="23">
        <f t="shared" si="24"/>
        <v>2.1300639658848612</v>
      </c>
    </row>
    <row r="174" spans="4:11" x14ac:dyDescent="0.3">
      <c r="D174">
        <v>166</v>
      </c>
      <c r="E174" s="26">
        <v>44374</v>
      </c>
      <c r="F174" s="22" t="s">
        <v>102</v>
      </c>
      <c r="G174" s="21">
        <v>7512</v>
      </c>
      <c r="H174" s="22">
        <v>5</v>
      </c>
      <c r="I174" s="41">
        <f>H174*B5</f>
        <v>2500</v>
      </c>
      <c r="J174" s="41">
        <f t="shared" si="25"/>
        <v>5012</v>
      </c>
      <c r="K174" s="23">
        <f t="shared" si="24"/>
        <v>2.0047999999999999</v>
      </c>
    </row>
    <row r="175" spans="4:11" x14ac:dyDescent="0.3">
      <c r="D175">
        <v>167</v>
      </c>
      <c r="E175" s="26">
        <v>44374</v>
      </c>
      <c r="F175" s="22" t="s">
        <v>101</v>
      </c>
      <c r="G175" s="21">
        <v>7340</v>
      </c>
      <c r="H175" s="22">
        <v>5</v>
      </c>
      <c r="I175" s="41">
        <f>H175*B4</f>
        <v>2345</v>
      </c>
      <c r="J175" s="41">
        <f t="shared" si="25"/>
        <v>4995</v>
      </c>
      <c r="K175" s="23">
        <f t="shared" si="24"/>
        <v>2.1300639658848612</v>
      </c>
    </row>
    <row r="176" spans="4:11" x14ac:dyDescent="0.3">
      <c r="D176">
        <v>168</v>
      </c>
      <c r="E176" s="26">
        <v>44466</v>
      </c>
      <c r="F176" s="22" t="s">
        <v>100</v>
      </c>
      <c r="G176" s="21">
        <v>4932</v>
      </c>
      <c r="H176" s="22">
        <v>5</v>
      </c>
      <c r="I176" s="41">
        <f>H176*B3</f>
        <v>1640</v>
      </c>
      <c r="J176" s="41">
        <f t="shared" si="25"/>
        <v>3292</v>
      </c>
      <c r="K176" s="23">
        <f t="shared" si="24"/>
        <v>2.0073170731707317</v>
      </c>
    </row>
    <row r="177" spans="4:11" x14ac:dyDescent="0.3">
      <c r="D177">
        <v>169</v>
      </c>
      <c r="E177" s="26">
        <v>44470</v>
      </c>
      <c r="F177" s="22" t="s">
        <v>112</v>
      </c>
      <c r="G177" s="21">
        <v>2954</v>
      </c>
      <c r="H177" s="22">
        <v>20</v>
      </c>
      <c r="I177" s="41">
        <f>B6*H177</f>
        <v>960</v>
      </c>
      <c r="J177" s="41">
        <f t="shared" si="25"/>
        <v>1994</v>
      </c>
      <c r="K177" s="23">
        <f t="shared" si="24"/>
        <v>2.0770833333333334</v>
      </c>
    </row>
    <row r="178" spans="4:11" x14ac:dyDescent="0.3">
      <c r="D178">
        <v>170</v>
      </c>
      <c r="E178" s="26">
        <v>44471</v>
      </c>
      <c r="F178" s="22" t="s">
        <v>99</v>
      </c>
      <c r="G178" s="21">
        <v>6050</v>
      </c>
      <c r="H178" s="22">
        <v>10</v>
      </c>
      <c r="I178" s="43">
        <f>D5*H178</f>
        <v>2460</v>
      </c>
      <c r="J178" s="41">
        <f t="shared" si="25"/>
        <v>3590</v>
      </c>
      <c r="K178" s="23">
        <f t="shared" si="24"/>
        <v>1.4593495934959348</v>
      </c>
    </row>
    <row r="179" spans="4:11" x14ac:dyDescent="0.3">
      <c r="D179">
        <v>171</v>
      </c>
      <c r="E179" s="26">
        <v>44472</v>
      </c>
      <c r="F179" s="22" t="s">
        <v>100</v>
      </c>
      <c r="G179" s="21">
        <v>4932</v>
      </c>
      <c r="H179" s="22">
        <v>5</v>
      </c>
      <c r="I179" s="43">
        <f>H179*B3</f>
        <v>1640</v>
      </c>
      <c r="J179" s="41">
        <f t="shared" si="25"/>
        <v>3292</v>
      </c>
      <c r="K179" s="23">
        <f t="shared" si="24"/>
        <v>2.0073170731707317</v>
      </c>
    </row>
    <row r="180" spans="4:11" x14ac:dyDescent="0.3">
      <c r="D180">
        <v>172</v>
      </c>
      <c r="E180" s="26">
        <v>44472</v>
      </c>
      <c r="F180" s="22" t="s">
        <v>101</v>
      </c>
      <c r="G180" s="21">
        <v>7340</v>
      </c>
      <c r="H180" s="22">
        <v>5</v>
      </c>
      <c r="I180" s="43">
        <f>H180*B4</f>
        <v>2345</v>
      </c>
      <c r="J180" s="41">
        <f t="shared" ref="J180:J185" si="26">G180-I180</f>
        <v>4995</v>
      </c>
      <c r="K180" s="23">
        <f t="shared" si="24"/>
        <v>2.1300639658848612</v>
      </c>
    </row>
    <row r="181" spans="4:11" x14ac:dyDescent="0.3">
      <c r="D181">
        <v>173</v>
      </c>
      <c r="E181" s="26">
        <v>44473</v>
      </c>
      <c r="F181" s="22" t="s">
        <v>99</v>
      </c>
      <c r="G181" s="21">
        <v>6050</v>
      </c>
      <c r="H181" s="22">
        <v>10</v>
      </c>
      <c r="I181" s="43">
        <f>H181*D5</f>
        <v>2460</v>
      </c>
      <c r="J181" s="41">
        <f t="shared" si="26"/>
        <v>3590</v>
      </c>
      <c r="K181" s="23">
        <f t="shared" si="24"/>
        <v>1.4593495934959348</v>
      </c>
    </row>
    <row r="182" spans="4:11" x14ac:dyDescent="0.3">
      <c r="D182">
        <v>174</v>
      </c>
      <c r="E182" s="26">
        <v>44473</v>
      </c>
      <c r="F182" s="22" t="s">
        <v>94</v>
      </c>
      <c r="G182" s="21">
        <v>3040</v>
      </c>
      <c r="H182" s="22">
        <v>10</v>
      </c>
      <c r="I182" s="43">
        <f>H182*D2</f>
        <v>990</v>
      </c>
      <c r="J182" s="41">
        <f t="shared" si="26"/>
        <v>2050</v>
      </c>
      <c r="K182" s="23">
        <f t="shared" si="24"/>
        <v>2.0707070707070705</v>
      </c>
    </row>
    <row r="183" spans="4:11" x14ac:dyDescent="0.3">
      <c r="D183">
        <v>175</v>
      </c>
      <c r="E183" s="26">
        <v>44473</v>
      </c>
      <c r="F183" s="22" t="s">
        <v>95</v>
      </c>
      <c r="G183" s="21">
        <f>5200-1128</f>
        <v>4072</v>
      </c>
      <c r="H183" s="22">
        <v>10</v>
      </c>
      <c r="I183" s="43">
        <f>H183*D4</f>
        <v>1260</v>
      </c>
      <c r="J183" s="41">
        <f t="shared" si="26"/>
        <v>2812</v>
      </c>
      <c r="K183" s="23">
        <f t="shared" si="24"/>
        <v>2.2317460317460318</v>
      </c>
    </row>
    <row r="184" spans="4:11" x14ac:dyDescent="0.3">
      <c r="D184">
        <v>176</v>
      </c>
      <c r="E184" s="26">
        <v>44473</v>
      </c>
      <c r="F184" s="22" t="s">
        <v>112</v>
      </c>
      <c r="G184" s="21">
        <v>2954</v>
      </c>
      <c r="H184" s="22">
        <v>20</v>
      </c>
      <c r="I184" s="41">
        <v>960</v>
      </c>
      <c r="J184" s="41">
        <f t="shared" si="26"/>
        <v>1994</v>
      </c>
      <c r="K184" s="23">
        <f t="shared" si="24"/>
        <v>2.0770833333333334</v>
      </c>
    </row>
    <row r="185" spans="4:11" x14ac:dyDescent="0.3">
      <c r="D185">
        <v>177</v>
      </c>
      <c r="E185" s="26">
        <v>44473</v>
      </c>
      <c r="F185" s="22" t="s">
        <v>97</v>
      </c>
      <c r="G185" s="21">
        <v>6480</v>
      </c>
      <c r="H185" s="22">
        <v>10</v>
      </c>
      <c r="I185" s="43">
        <f>H185*D7</f>
        <v>2200</v>
      </c>
      <c r="J185" s="41">
        <f t="shared" si="26"/>
        <v>4280</v>
      </c>
      <c r="K185" s="23">
        <f t="shared" si="24"/>
        <v>1.9454545454545455</v>
      </c>
    </row>
    <row r="186" spans="4:11" x14ac:dyDescent="0.3">
      <c r="D186">
        <v>178</v>
      </c>
      <c r="E186" s="26">
        <v>44474</v>
      </c>
      <c r="F186" s="22" t="s">
        <v>102</v>
      </c>
      <c r="G186" s="21">
        <v>7512</v>
      </c>
      <c r="H186" s="22">
        <v>5</v>
      </c>
      <c r="I186" s="41">
        <f>H186*B5</f>
        <v>2500</v>
      </c>
      <c r="J186" s="41">
        <f t="shared" ref="J186:J191" si="27">G186-I186</f>
        <v>5012</v>
      </c>
      <c r="K186" s="23">
        <f t="shared" si="24"/>
        <v>2.0047999999999999</v>
      </c>
    </row>
    <row r="187" spans="4:11" x14ac:dyDescent="0.3">
      <c r="D187">
        <v>179</v>
      </c>
      <c r="E187" s="26">
        <v>44474</v>
      </c>
      <c r="F187" s="22" t="s">
        <v>99</v>
      </c>
      <c r="G187" s="21">
        <v>6050</v>
      </c>
      <c r="H187" s="22">
        <v>10</v>
      </c>
      <c r="I187" s="43">
        <f>H187*D5</f>
        <v>2460</v>
      </c>
      <c r="J187" s="41">
        <f t="shared" si="27"/>
        <v>3590</v>
      </c>
      <c r="K187" s="23">
        <f t="shared" si="24"/>
        <v>1.4593495934959348</v>
      </c>
    </row>
    <row r="188" spans="4:11" x14ac:dyDescent="0.3">
      <c r="D188">
        <v>180</v>
      </c>
      <c r="E188" s="26">
        <v>44474</v>
      </c>
      <c r="F188" s="44" t="s">
        <v>98</v>
      </c>
      <c r="G188" s="21">
        <f>7000-1380</f>
        <v>5620</v>
      </c>
      <c r="H188" s="44">
        <v>10</v>
      </c>
      <c r="I188" s="43">
        <f>H188*D3</f>
        <v>1970</v>
      </c>
      <c r="J188" s="41">
        <f t="shared" si="27"/>
        <v>3650</v>
      </c>
      <c r="K188" s="23">
        <f t="shared" si="24"/>
        <v>1.8527918781725887</v>
      </c>
    </row>
    <row r="189" spans="4:11" x14ac:dyDescent="0.3">
      <c r="D189">
        <v>181</v>
      </c>
      <c r="E189" s="26">
        <v>44474</v>
      </c>
      <c r="F189" s="22" t="s">
        <v>97</v>
      </c>
      <c r="G189" s="21">
        <v>6480</v>
      </c>
      <c r="H189" s="22">
        <v>10</v>
      </c>
      <c r="I189" s="43">
        <f>H189*D7</f>
        <v>2200</v>
      </c>
      <c r="J189" s="41">
        <f t="shared" si="27"/>
        <v>4280</v>
      </c>
      <c r="K189" s="23">
        <f t="shared" si="24"/>
        <v>1.9454545454545455</v>
      </c>
    </row>
    <row r="190" spans="4:11" x14ac:dyDescent="0.3">
      <c r="D190">
        <v>182</v>
      </c>
      <c r="E190" s="26">
        <v>44474</v>
      </c>
      <c r="F190" s="22" t="s">
        <v>100</v>
      </c>
      <c r="G190" s="21">
        <v>4932</v>
      </c>
      <c r="H190" s="22">
        <v>5</v>
      </c>
      <c r="I190" s="41">
        <f>H190*B3</f>
        <v>1640</v>
      </c>
      <c r="J190" s="41">
        <f t="shared" si="27"/>
        <v>3292</v>
      </c>
      <c r="K190" s="23">
        <f t="shared" si="24"/>
        <v>2.0073170731707317</v>
      </c>
    </row>
    <row r="191" spans="4:11" x14ac:dyDescent="0.3">
      <c r="D191">
        <v>183</v>
      </c>
      <c r="E191" s="26">
        <v>44474</v>
      </c>
      <c r="F191" s="22" t="s">
        <v>94</v>
      </c>
      <c r="G191" s="21">
        <v>3040</v>
      </c>
      <c r="H191" s="22">
        <v>10</v>
      </c>
      <c r="I191" s="43">
        <f>H191*D2</f>
        <v>990</v>
      </c>
      <c r="J191" s="41">
        <f t="shared" si="27"/>
        <v>2050</v>
      </c>
      <c r="K191" s="23">
        <f t="shared" si="24"/>
        <v>2.0707070707070705</v>
      </c>
    </row>
    <row r="192" spans="4:11" x14ac:dyDescent="0.3">
      <c r="D192">
        <v>184</v>
      </c>
      <c r="E192" s="26">
        <v>44476</v>
      </c>
      <c r="F192" s="22" t="s">
        <v>101</v>
      </c>
      <c r="G192" s="21">
        <v>7340</v>
      </c>
      <c r="H192" s="22">
        <v>5</v>
      </c>
      <c r="I192" s="41">
        <f>H192*B4</f>
        <v>2345</v>
      </c>
      <c r="J192" s="41">
        <f>G192-I192</f>
        <v>4995</v>
      </c>
      <c r="K192" s="23">
        <f t="shared" si="24"/>
        <v>2.1300639658848612</v>
      </c>
    </row>
    <row r="193" spans="4:11" x14ac:dyDescent="0.3">
      <c r="D193">
        <v>185</v>
      </c>
      <c r="E193" s="26">
        <v>44478</v>
      </c>
      <c r="F193" s="22" t="s">
        <v>136</v>
      </c>
      <c r="G193" s="21">
        <f>5200*2-2256</f>
        <v>8144</v>
      </c>
      <c r="H193" s="22">
        <v>20</v>
      </c>
      <c r="I193" s="43">
        <f>H193*D4</f>
        <v>2520</v>
      </c>
      <c r="J193" s="41">
        <f>G193-I193</f>
        <v>5624</v>
      </c>
      <c r="K193" s="23">
        <f t="shared" si="24"/>
        <v>2.2317460317460318</v>
      </c>
    </row>
    <row r="194" spans="4:11" x14ac:dyDescent="0.3">
      <c r="D194">
        <v>186</v>
      </c>
      <c r="E194" s="26">
        <v>44478</v>
      </c>
      <c r="F194" s="22" t="s">
        <v>100</v>
      </c>
      <c r="G194" s="21">
        <v>4932</v>
      </c>
      <c r="H194" s="22">
        <v>5</v>
      </c>
      <c r="I194" s="41">
        <f>H194*B3</f>
        <v>1640</v>
      </c>
      <c r="J194" s="41">
        <f t="shared" ref="J194:J216" si="28">G194-I194</f>
        <v>3292</v>
      </c>
      <c r="K194" s="23">
        <f t="shared" si="24"/>
        <v>2.0073170731707317</v>
      </c>
    </row>
    <row r="195" spans="4:11" x14ac:dyDescent="0.3">
      <c r="D195">
        <v>187</v>
      </c>
      <c r="E195" s="26">
        <v>44478</v>
      </c>
      <c r="F195" s="22" t="s">
        <v>94</v>
      </c>
      <c r="G195" s="21">
        <v>3040</v>
      </c>
      <c r="H195" s="22">
        <v>10</v>
      </c>
      <c r="I195" s="43">
        <f>H195*D2</f>
        <v>990</v>
      </c>
      <c r="J195" s="41">
        <f t="shared" si="28"/>
        <v>2050</v>
      </c>
      <c r="K195" s="23">
        <f t="shared" si="24"/>
        <v>2.0707070707070705</v>
      </c>
    </row>
    <row r="196" spans="4:11" x14ac:dyDescent="0.3">
      <c r="D196">
        <v>188</v>
      </c>
      <c r="E196" s="22"/>
      <c r="F196" s="22" t="s">
        <v>102</v>
      </c>
      <c r="G196" s="21">
        <v>7512</v>
      </c>
      <c r="H196" s="22">
        <v>5</v>
      </c>
      <c r="I196" s="41">
        <f>H196*B5</f>
        <v>2500</v>
      </c>
      <c r="J196" s="41">
        <f t="shared" si="28"/>
        <v>5012</v>
      </c>
      <c r="K196" s="23">
        <f t="shared" si="24"/>
        <v>2.0047999999999999</v>
      </c>
    </row>
    <row r="197" spans="4:11" x14ac:dyDescent="0.3">
      <c r="D197">
        <v>189</v>
      </c>
      <c r="E197" s="22"/>
      <c r="F197" s="22" t="s">
        <v>101</v>
      </c>
      <c r="G197" s="21">
        <v>7340</v>
      </c>
      <c r="H197" s="22">
        <v>5</v>
      </c>
      <c r="I197" s="41">
        <f>H197*B4</f>
        <v>2345</v>
      </c>
      <c r="J197" s="41">
        <f t="shared" si="28"/>
        <v>4995</v>
      </c>
      <c r="K197" s="23">
        <f t="shared" si="24"/>
        <v>2.1300639658848612</v>
      </c>
    </row>
    <row r="198" spans="4:11" x14ac:dyDescent="0.3">
      <c r="D198">
        <v>190</v>
      </c>
      <c r="E198" s="22"/>
      <c r="F198" s="22" t="s">
        <v>97</v>
      </c>
      <c r="G198" s="21">
        <v>6480</v>
      </c>
      <c r="H198" s="22">
        <v>10</v>
      </c>
      <c r="I198" s="43">
        <f>H198*D7</f>
        <v>2200</v>
      </c>
      <c r="J198" s="41">
        <f t="shared" si="28"/>
        <v>4280</v>
      </c>
      <c r="K198" s="23">
        <f t="shared" si="24"/>
        <v>1.9454545454545455</v>
      </c>
    </row>
    <row r="199" spans="4:11" x14ac:dyDescent="0.3">
      <c r="D199">
        <v>191</v>
      </c>
      <c r="E199" s="22"/>
      <c r="F199" s="22" t="s">
        <v>100</v>
      </c>
      <c r="G199" s="21">
        <v>4932</v>
      </c>
      <c r="H199" s="22">
        <v>5</v>
      </c>
      <c r="I199" s="41">
        <f>H199*B3</f>
        <v>1640</v>
      </c>
      <c r="J199" s="41">
        <f t="shared" si="28"/>
        <v>3292</v>
      </c>
      <c r="K199" s="23">
        <f t="shared" si="24"/>
        <v>2.0073170731707317</v>
      </c>
    </row>
    <row r="200" spans="4:11" x14ac:dyDescent="0.3">
      <c r="D200">
        <v>192</v>
      </c>
      <c r="E200" s="22"/>
      <c r="F200" s="22" t="s">
        <v>100</v>
      </c>
      <c r="G200" s="21">
        <v>4932</v>
      </c>
      <c r="H200" s="22">
        <v>5</v>
      </c>
      <c r="I200" s="41">
        <f>H200*B3</f>
        <v>1640</v>
      </c>
      <c r="J200" s="41">
        <f t="shared" si="28"/>
        <v>3292</v>
      </c>
      <c r="K200" s="23">
        <f t="shared" si="24"/>
        <v>2.0073170731707317</v>
      </c>
    </row>
    <row r="201" spans="4:11" x14ac:dyDescent="0.3">
      <c r="D201">
        <v>193</v>
      </c>
      <c r="E201" s="22"/>
      <c r="F201" s="22" t="s">
        <v>113</v>
      </c>
      <c r="G201" s="21">
        <v>7456</v>
      </c>
      <c r="H201" s="22">
        <v>40</v>
      </c>
      <c r="I201" s="41">
        <f>H201*B7</f>
        <v>2800</v>
      </c>
      <c r="J201" s="41">
        <f t="shared" si="28"/>
        <v>4656</v>
      </c>
      <c r="K201" s="23">
        <f t="shared" si="24"/>
        <v>1.6628571428571428</v>
      </c>
    </row>
    <row r="202" spans="4:11" x14ac:dyDescent="0.3">
      <c r="D202">
        <v>194</v>
      </c>
      <c r="E202" s="22"/>
      <c r="F202" s="22" t="s">
        <v>112</v>
      </c>
      <c r="G202" s="21">
        <v>2954</v>
      </c>
      <c r="H202" s="22">
        <v>20</v>
      </c>
      <c r="I202" s="41">
        <f>H202*B6</f>
        <v>960</v>
      </c>
      <c r="J202" s="41">
        <f t="shared" si="28"/>
        <v>1994</v>
      </c>
      <c r="K202" s="23">
        <f t="shared" si="24"/>
        <v>2.0770833333333334</v>
      </c>
    </row>
    <row r="203" spans="4:11" x14ac:dyDescent="0.3">
      <c r="D203">
        <v>195</v>
      </c>
      <c r="E203" s="22"/>
      <c r="F203" s="22" t="s">
        <v>112</v>
      </c>
      <c r="G203" s="21">
        <v>2954</v>
      </c>
      <c r="H203" s="22">
        <v>20</v>
      </c>
      <c r="I203" s="41">
        <f>H203*B6</f>
        <v>960</v>
      </c>
      <c r="J203" s="41">
        <f t="shared" si="28"/>
        <v>1994</v>
      </c>
      <c r="K203" s="23">
        <f t="shared" si="24"/>
        <v>2.0770833333333334</v>
      </c>
    </row>
    <row r="204" spans="4:11" x14ac:dyDescent="0.3">
      <c r="D204">
        <v>196</v>
      </c>
      <c r="E204" s="22"/>
      <c r="F204" s="22" t="s">
        <v>98</v>
      </c>
      <c r="G204" s="21">
        <f>7000*2-2760</f>
        <v>11240</v>
      </c>
      <c r="H204" s="22">
        <v>20</v>
      </c>
      <c r="I204" s="43">
        <f>H204*D3</f>
        <v>3940</v>
      </c>
      <c r="J204" s="41">
        <f t="shared" si="28"/>
        <v>7300</v>
      </c>
      <c r="K204" s="23">
        <f t="shared" si="24"/>
        <v>1.8527918781725887</v>
      </c>
    </row>
    <row r="205" spans="4:11" x14ac:dyDescent="0.3">
      <c r="D205">
        <v>197</v>
      </c>
      <c r="E205" s="22"/>
      <c r="F205" s="22" t="s">
        <v>99</v>
      </c>
      <c r="G205" s="21">
        <f>7500*2-2900</f>
        <v>12100</v>
      </c>
      <c r="H205" s="22">
        <v>20</v>
      </c>
      <c r="I205" s="43">
        <f>H205*D5</f>
        <v>4920</v>
      </c>
      <c r="J205" s="41">
        <f t="shared" si="28"/>
        <v>7180</v>
      </c>
      <c r="K205" s="23">
        <f t="shared" si="24"/>
        <v>1.4593495934959348</v>
      </c>
    </row>
    <row r="206" spans="4:11" x14ac:dyDescent="0.3">
      <c r="D206">
        <v>198</v>
      </c>
      <c r="E206" s="26">
        <v>44481</v>
      </c>
      <c r="F206" s="22" t="s">
        <v>99</v>
      </c>
      <c r="G206" s="21">
        <f>7500-1450</f>
        <v>6050</v>
      </c>
      <c r="H206" s="22">
        <v>10</v>
      </c>
      <c r="I206" s="43">
        <f>H206*D5</f>
        <v>2460</v>
      </c>
      <c r="J206" s="41">
        <f t="shared" si="28"/>
        <v>3590</v>
      </c>
      <c r="K206" s="23">
        <f t="shared" si="24"/>
        <v>1.4593495934959348</v>
      </c>
    </row>
    <row r="207" spans="4:11" x14ac:dyDescent="0.3">
      <c r="D207">
        <v>199</v>
      </c>
      <c r="E207" s="26">
        <v>44481</v>
      </c>
      <c r="F207" s="22" t="s">
        <v>98</v>
      </c>
      <c r="G207" s="21">
        <v>5620</v>
      </c>
      <c r="H207" s="22">
        <v>10</v>
      </c>
      <c r="I207" s="43">
        <f>H207*D3</f>
        <v>1970</v>
      </c>
      <c r="J207" s="41">
        <f t="shared" si="28"/>
        <v>3650</v>
      </c>
      <c r="K207" s="23">
        <f t="shared" si="24"/>
        <v>1.8527918781725887</v>
      </c>
    </row>
    <row r="208" spans="4:11" x14ac:dyDescent="0.3">
      <c r="D208">
        <v>200</v>
      </c>
      <c r="E208" s="26">
        <v>44481</v>
      </c>
      <c r="F208" s="22" t="s">
        <v>100</v>
      </c>
      <c r="G208" s="21">
        <f>4932*2</f>
        <v>9864</v>
      </c>
      <c r="H208" s="22">
        <v>10</v>
      </c>
      <c r="I208" s="41">
        <f>H208*B3</f>
        <v>3280</v>
      </c>
      <c r="J208" s="41">
        <f t="shared" si="28"/>
        <v>6584</v>
      </c>
      <c r="K208" s="23">
        <f t="shared" si="24"/>
        <v>2.0073170731707317</v>
      </c>
    </row>
    <row r="209" spans="4:11" x14ac:dyDescent="0.3">
      <c r="D209">
        <v>201</v>
      </c>
      <c r="E209" s="26">
        <v>44481</v>
      </c>
      <c r="F209" s="22" t="s">
        <v>101</v>
      </c>
      <c r="G209" s="21">
        <v>7340</v>
      </c>
      <c r="H209" s="22">
        <v>5</v>
      </c>
      <c r="I209" s="41">
        <f>H209*B4</f>
        <v>2345</v>
      </c>
      <c r="J209" s="41">
        <f t="shared" si="28"/>
        <v>4995</v>
      </c>
      <c r="K209" s="23">
        <f t="shared" si="24"/>
        <v>2.1300639658848612</v>
      </c>
    </row>
    <row r="210" spans="4:11" x14ac:dyDescent="0.3">
      <c r="D210">
        <v>202</v>
      </c>
      <c r="E210" s="26">
        <v>44485</v>
      </c>
      <c r="F210" s="22" t="s">
        <v>98</v>
      </c>
      <c r="G210" s="21">
        <f>5620*3</f>
        <v>16860</v>
      </c>
      <c r="H210" s="22">
        <v>30</v>
      </c>
      <c r="I210" s="43">
        <f>H210*D3</f>
        <v>5910</v>
      </c>
      <c r="J210" s="41">
        <f t="shared" si="28"/>
        <v>10950</v>
      </c>
      <c r="K210" s="23">
        <f t="shared" si="24"/>
        <v>1.8527918781725887</v>
      </c>
    </row>
    <row r="211" spans="4:11" x14ac:dyDescent="0.3">
      <c r="D211">
        <v>203</v>
      </c>
      <c r="E211" s="26">
        <v>44486</v>
      </c>
      <c r="F211" s="22" t="s">
        <v>95</v>
      </c>
      <c r="G211" s="21">
        <v>4072</v>
      </c>
      <c r="H211" s="22">
        <v>10</v>
      </c>
      <c r="I211" s="43">
        <f>H211*D4</f>
        <v>1260</v>
      </c>
      <c r="J211" s="41">
        <f t="shared" si="28"/>
        <v>2812</v>
      </c>
      <c r="K211" s="23">
        <f t="shared" si="24"/>
        <v>2.2317460317460318</v>
      </c>
    </row>
    <row r="212" spans="4:11" x14ac:dyDescent="0.3">
      <c r="D212">
        <v>204</v>
      </c>
      <c r="E212" s="22"/>
      <c r="F212" s="22" t="s">
        <v>98</v>
      </c>
      <c r="G212" s="21">
        <f>5620*2</f>
        <v>11240</v>
      </c>
      <c r="H212" s="22">
        <v>20</v>
      </c>
      <c r="I212" s="43">
        <f>H212*D3</f>
        <v>3940</v>
      </c>
      <c r="J212" s="41">
        <f t="shared" si="28"/>
        <v>7300</v>
      </c>
      <c r="K212" s="23">
        <f t="shared" si="24"/>
        <v>1.8527918781725887</v>
      </c>
    </row>
    <row r="213" spans="4:11" x14ac:dyDescent="0.3">
      <c r="D213">
        <v>205</v>
      </c>
      <c r="E213" s="26">
        <v>44488</v>
      </c>
      <c r="F213" s="44" t="s">
        <v>99</v>
      </c>
      <c r="G213" s="21">
        <v>6650</v>
      </c>
      <c r="H213" s="44">
        <v>10</v>
      </c>
      <c r="I213" s="43">
        <f>H213*D5</f>
        <v>2460</v>
      </c>
      <c r="J213" s="41">
        <f t="shared" si="28"/>
        <v>4190</v>
      </c>
      <c r="K213" s="23">
        <f t="shared" si="24"/>
        <v>1.7032520325203253</v>
      </c>
    </row>
    <row r="214" spans="4:11" x14ac:dyDescent="0.3">
      <c r="D214">
        <v>206</v>
      </c>
      <c r="E214" s="26">
        <v>44488</v>
      </c>
      <c r="F214" s="22" t="s">
        <v>95</v>
      </c>
      <c r="G214" s="21">
        <f>2*4072</f>
        <v>8144</v>
      </c>
      <c r="H214" s="22">
        <v>20</v>
      </c>
      <c r="I214" s="43">
        <f>H214*D4</f>
        <v>2520</v>
      </c>
      <c r="J214" s="41">
        <f t="shared" si="28"/>
        <v>5624</v>
      </c>
      <c r="K214" s="23">
        <f t="shared" si="24"/>
        <v>2.2317460317460318</v>
      </c>
    </row>
    <row r="215" spans="4:11" x14ac:dyDescent="0.3">
      <c r="D215">
        <v>207</v>
      </c>
      <c r="E215" s="26">
        <v>44488</v>
      </c>
      <c r="F215" s="44" t="s">
        <v>94</v>
      </c>
      <c r="G215" s="21">
        <f>2*3040</f>
        <v>6080</v>
      </c>
      <c r="H215" s="22">
        <v>20</v>
      </c>
      <c r="I215" s="43">
        <f>H215*D2</f>
        <v>1980</v>
      </c>
      <c r="J215" s="41">
        <f t="shared" si="28"/>
        <v>4100</v>
      </c>
      <c r="K215" s="23">
        <f t="shared" si="24"/>
        <v>2.0707070707070705</v>
      </c>
    </row>
    <row r="216" spans="4:11" x14ac:dyDescent="0.3">
      <c r="D216">
        <v>208</v>
      </c>
      <c r="E216" s="26">
        <v>44488</v>
      </c>
      <c r="F216" s="44" t="s">
        <v>97</v>
      </c>
      <c r="G216" s="21">
        <f>4500-1030</f>
        <v>3470</v>
      </c>
      <c r="H216" s="22">
        <v>5</v>
      </c>
      <c r="I216" s="43">
        <f>H216*D7</f>
        <v>1100</v>
      </c>
      <c r="J216" s="41">
        <f t="shared" si="28"/>
        <v>2370</v>
      </c>
      <c r="K216" s="23">
        <f t="shared" si="24"/>
        <v>2.1545454545454548</v>
      </c>
    </row>
    <row r="217" spans="4:11" x14ac:dyDescent="0.3">
      <c r="D217">
        <v>209</v>
      </c>
      <c r="E217" s="26">
        <v>44489</v>
      </c>
      <c r="F217" s="44" t="s">
        <v>96</v>
      </c>
      <c r="G217" s="21">
        <f>6500-1310</f>
        <v>5190</v>
      </c>
      <c r="H217" s="44">
        <v>10</v>
      </c>
      <c r="I217" s="43">
        <f>H217*D6</f>
        <v>1570</v>
      </c>
      <c r="J217" s="41">
        <f t="shared" ref="J217:J229" si="29">G217-I217</f>
        <v>3620</v>
      </c>
      <c r="K217" s="23">
        <f t="shared" si="24"/>
        <v>2.3057324840764331</v>
      </c>
    </row>
    <row r="218" spans="4:11" x14ac:dyDescent="0.3">
      <c r="D218">
        <v>210</v>
      </c>
      <c r="E218" s="26">
        <v>44489</v>
      </c>
      <c r="F218" s="44" t="s">
        <v>95</v>
      </c>
      <c r="G218" s="21">
        <f>2*4072</f>
        <v>8144</v>
      </c>
      <c r="H218" s="44">
        <v>20</v>
      </c>
      <c r="I218" s="43">
        <f>H218*D4</f>
        <v>2520</v>
      </c>
      <c r="J218" s="41">
        <f t="shared" si="29"/>
        <v>5624</v>
      </c>
      <c r="K218" s="23">
        <f t="shared" si="24"/>
        <v>2.2317460317460318</v>
      </c>
    </row>
    <row r="219" spans="4:11" x14ac:dyDescent="0.3">
      <c r="D219">
        <v>211</v>
      </c>
      <c r="E219" s="26">
        <v>44489</v>
      </c>
      <c r="F219" s="44" t="s">
        <v>95</v>
      </c>
      <c r="G219" s="21">
        <v>4072</v>
      </c>
      <c r="H219" s="44">
        <v>10</v>
      </c>
      <c r="I219" s="43">
        <f>H219*D4</f>
        <v>1260</v>
      </c>
      <c r="J219" s="41">
        <f t="shared" si="29"/>
        <v>2812</v>
      </c>
      <c r="K219" s="23">
        <f t="shared" si="24"/>
        <v>2.2317460317460318</v>
      </c>
    </row>
    <row r="220" spans="4:11" x14ac:dyDescent="0.3">
      <c r="D220">
        <v>212</v>
      </c>
      <c r="E220" s="26">
        <v>44492</v>
      </c>
      <c r="F220" s="47">
        <v>555</v>
      </c>
      <c r="G220" s="21">
        <v>3040</v>
      </c>
      <c r="H220" s="44">
        <v>10</v>
      </c>
      <c r="I220" s="22">
        <f>H220*Q6</f>
        <v>448.5</v>
      </c>
      <c r="J220" s="41">
        <f t="shared" si="29"/>
        <v>2591.5</v>
      </c>
      <c r="K220" s="23">
        <f t="shared" si="24"/>
        <v>5.7781493868450386</v>
      </c>
    </row>
    <row r="221" spans="4:11" x14ac:dyDescent="0.3">
      <c r="D221">
        <v>213</v>
      </c>
      <c r="E221" s="26">
        <v>44492</v>
      </c>
      <c r="F221" s="22" t="s">
        <v>99</v>
      </c>
      <c r="G221" s="21">
        <v>6738</v>
      </c>
      <c r="H221" s="44">
        <v>10</v>
      </c>
      <c r="I221" s="43">
        <f>H221*D5</f>
        <v>2460</v>
      </c>
      <c r="J221" s="41">
        <f t="shared" si="29"/>
        <v>4278</v>
      </c>
      <c r="K221" s="23">
        <f t="shared" si="24"/>
        <v>1.7390243902439024</v>
      </c>
    </row>
    <row r="222" spans="4:11" x14ac:dyDescent="0.3">
      <c r="D222">
        <v>214</v>
      </c>
      <c r="E222" s="26">
        <v>44492</v>
      </c>
      <c r="F222" s="22" t="s">
        <v>112</v>
      </c>
      <c r="G222" s="21">
        <v>8862</v>
      </c>
      <c r="H222" s="22">
        <f>60</f>
        <v>60</v>
      </c>
      <c r="I222" s="41">
        <f>H222*B6</f>
        <v>2880</v>
      </c>
      <c r="J222" s="41">
        <f t="shared" si="29"/>
        <v>5982</v>
      </c>
      <c r="K222" s="23">
        <f t="shared" si="24"/>
        <v>2.0770833333333334</v>
      </c>
    </row>
    <row r="223" spans="4:11" x14ac:dyDescent="0.3">
      <c r="D223">
        <v>215</v>
      </c>
      <c r="E223" s="26">
        <v>44494</v>
      </c>
      <c r="F223" s="44" t="s">
        <v>95</v>
      </c>
      <c r="G223" s="21">
        <v>4072</v>
      </c>
      <c r="H223" s="44">
        <v>10</v>
      </c>
      <c r="I223" s="43">
        <f>H223*D4</f>
        <v>1260</v>
      </c>
      <c r="J223" s="41">
        <f t="shared" si="29"/>
        <v>2812</v>
      </c>
      <c r="K223" s="23">
        <f t="shared" si="24"/>
        <v>2.2317460317460318</v>
      </c>
    </row>
    <row r="224" spans="4:11" x14ac:dyDescent="0.3">
      <c r="D224">
        <v>216</v>
      </c>
      <c r="E224" s="26">
        <v>44494</v>
      </c>
      <c r="F224" s="44" t="s">
        <v>94</v>
      </c>
      <c r="G224" s="21">
        <v>3040</v>
      </c>
      <c r="H224" s="44">
        <v>10</v>
      </c>
      <c r="I224" s="43">
        <f>H224*D2</f>
        <v>990</v>
      </c>
      <c r="J224" s="41">
        <f t="shared" si="29"/>
        <v>2050</v>
      </c>
      <c r="K224" s="23">
        <f t="shared" si="24"/>
        <v>2.0707070707070705</v>
      </c>
    </row>
    <row r="225" spans="4:15" x14ac:dyDescent="0.3">
      <c r="D225">
        <v>217</v>
      </c>
      <c r="E225" s="26">
        <v>44494</v>
      </c>
      <c r="F225" s="22" t="s">
        <v>99</v>
      </c>
      <c r="G225" s="21">
        <v>6738</v>
      </c>
      <c r="H225" s="44">
        <v>10</v>
      </c>
      <c r="I225" s="43">
        <f>H225*D5</f>
        <v>2460</v>
      </c>
      <c r="J225" s="41">
        <f t="shared" si="29"/>
        <v>4278</v>
      </c>
      <c r="K225" s="23">
        <f t="shared" si="24"/>
        <v>1.7390243902439024</v>
      </c>
    </row>
    <row r="226" spans="4:15" x14ac:dyDescent="0.3">
      <c r="D226">
        <v>218</v>
      </c>
      <c r="E226" s="26">
        <v>44494</v>
      </c>
      <c r="F226" s="44" t="s">
        <v>112</v>
      </c>
      <c r="G226" s="21">
        <v>5908</v>
      </c>
      <c r="H226" s="44">
        <v>40</v>
      </c>
      <c r="I226" s="41">
        <f>H226*B6</f>
        <v>1920</v>
      </c>
      <c r="J226" s="41">
        <f t="shared" si="29"/>
        <v>3988</v>
      </c>
      <c r="K226" s="23">
        <f t="shared" ref="K226:K289" si="30">J226/I226</f>
        <v>2.0770833333333334</v>
      </c>
    </row>
    <row r="227" spans="4:15" x14ac:dyDescent="0.3">
      <c r="D227">
        <v>219</v>
      </c>
      <c r="E227" s="26">
        <v>44494</v>
      </c>
      <c r="F227" s="44" t="s">
        <v>94</v>
      </c>
      <c r="G227" s="21">
        <f>3040*4</f>
        <v>12160</v>
      </c>
      <c r="H227" s="44">
        <v>40</v>
      </c>
      <c r="I227" s="43">
        <f>H227*D2</f>
        <v>3960</v>
      </c>
      <c r="J227" s="41">
        <f t="shared" si="29"/>
        <v>8200</v>
      </c>
      <c r="K227" s="23">
        <f t="shared" si="30"/>
        <v>2.0707070707070705</v>
      </c>
      <c r="N227" s="6"/>
      <c r="O227" s="6"/>
    </row>
    <row r="228" spans="4:15" x14ac:dyDescent="0.3">
      <c r="D228">
        <v>220</v>
      </c>
      <c r="E228" s="26">
        <v>44496</v>
      </c>
      <c r="F228" s="22" t="s">
        <v>112</v>
      </c>
      <c r="G228" s="21">
        <f>G222/3</f>
        <v>2954</v>
      </c>
      <c r="H228" s="22">
        <v>20</v>
      </c>
      <c r="I228" s="41">
        <f>H228*B6</f>
        <v>960</v>
      </c>
      <c r="J228" s="41">
        <f t="shared" si="29"/>
        <v>1994</v>
      </c>
      <c r="K228" s="23">
        <f t="shared" si="30"/>
        <v>2.0770833333333334</v>
      </c>
    </row>
    <row r="229" spans="4:15" x14ac:dyDescent="0.3">
      <c r="D229">
        <v>221</v>
      </c>
      <c r="E229" s="26">
        <v>44496</v>
      </c>
      <c r="F229" s="22" t="s">
        <v>98</v>
      </c>
      <c r="G229" s="21">
        <v>5620</v>
      </c>
      <c r="H229" s="22">
        <v>10</v>
      </c>
      <c r="I229" s="43">
        <f>H229*D3</f>
        <v>1970</v>
      </c>
      <c r="J229" s="41">
        <f t="shared" si="29"/>
        <v>3650</v>
      </c>
      <c r="K229" s="23">
        <f t="shared" si="30"/>
        <v>1.8527918781725887</v>
      </c>
    </row>
    <row r="230" spans="4:15" x14ac:dyDescent="0.3">
      <c r="D230">
        <v>222</v>
      </c>
      <c r="E230" s="26">
        <v>44497</v>
      </c>
      <c r="F230" s="44" t="s">
        <v>101</v>
      </c>
      <c r="G230" s="21">
        <v>7340</v>
      </c>
      <c r="H230" s="44">
        <v>5</v>
      </c>
      <c r="I230" s="41">
        <f>H230*B4</f>
        <v>2345</v>
      </c>
      <c r="J230" s="41">
        <f t="shared" ref="J230:J238" si="31">G230-I230</f>
        <v>4995</v>
      </c>
      <c r="K230" s="23">
        <f t="shared" si="30"/>
        <v>2.1300639658848612</v>
      </c>
    </row>
    <row r="231" spans="4:15" x14ac:dyDescent="0.3">
      <c r="D231">
        <v>223</v>
      </c>
      <c r="E231" s="26">
        <v>44499</v>
      </c>
      <c r="F231" s="22" t="s">
        <v>112</v>
      </c>
      <c r="G231" s="21">
        <v>2954</v>
      </c>
      <c r="H231" s="44">
        <v>20</v>
      </c>
      <c r="I231" s="41">
        <f>H231*B6</f>
        <v>960</v>
      </c>
      <c r="J231" s="41">
        <f t="shared" si="31"/>
        <v>1994</v>
      </c>
      <c r="K231" s="23">
        <f t="shared" si="30"/>
        <v>2.0770833333333334</v>
      </c>
    </row>
    <row r="232" spans="4:15" x14ac:dyDescent="0.3">
      <c r="D232">
        <v>224</v>
      </c>
      <c r="E232" s="26">
        <v>44499</v>
      </c>
      <c r="F232" s="22" t="s">
        <v>112</v>
      </c>
      <c r="G232" s="21">
        <v>2954</v>
      </c>
      <c r="H232" s="44">
        <v>20</v>
      </c>
      <c r="I232" s="41">
        <f>H232*B6</f>
        <v>960</v>
      </c>
      <c r="J232" s="41">
        <f t="shared" si="31"/>
        <v>1994</v>
      </c>
      <c r="K232" s="23">
        <f t="shared" si="30"/>
        <v>2.0770833333333334</v>
      </c>
    </row>
    <row r="233" spans="4:15" x14ac:dyDescent="0.3">
      <c r="D233">
        <v>225</v>
      </c>
      <c r="E233" s="26">
        <v>44502</v>
      </c>
      <c r="F233" s="22" t="s">
        <v>112</v>
      </c>
      <c r="G233" s="21">
        <v>2954</v>
      </c>
      <c r="H233" s="22">
        <v>20</v>
      </c>
      <c r="I233" s="22">
        <v>960</v>
      </c>
      <c r="J233" s="41">
        <f t="shared" si="31"/>
        <v>1994</v>
      </c>
      <c r="K233" s="23">
        <f t="shared" si="30"/>
        <v>2.0770833333333334</v>
      </c>
    </row>
    <row r="234" spans="4:15" x14ac:dyDescent="0.3">
      <c r="D234">
        <v>226</v>
      </c>
      <c r="E234" s="26">
        <v>44502</v>
      </c>
      <c r="F234" s="22" t="s">
        <v>98</v>
      </c>
      <c r="G234" s="21">
        <v>28100</v>
      </c>
      <c r="H234" s="22">
        <f>50</f>
        <v>50</v>
      </c>
      <c r="I234" s="43">
        <f>50*D3</f>
        <v>9850</v>
      </c>
      <c r="J234" s="41">
        <f t="shared" si="31"/>
        <v>18250</v>
      </c>
      <c r="K234" s="23">
        <f t="shared" si="30"/>
        <v>1.8527918781725887</v>
      </c>
    </row>
    <row r="235" spans="4:15" x14ac:dyDescent="0.3">
      <c r="D235">
        <v>227</v>
      </c>
      <c r="E235" s="26">
        <v>44502</v>
      </c>
      <c r="F235" s="22" t="s">
        <v>112</v>
      </c>
      <c r="G235" s="21">
        <f>4*2954</f>
        <v>11816</v>
      </c>
      <c r="H235" s="22">
        <v>80</v>
      </c>
      <c r="I235" s="41">
        <f>H235*B6</f>
        <v>3840</v>
      </c>
      <c r="J235" s="41">
        <f t="shared" si="31"/>
        <v>7976</v>
      </c>
      <c r="K235" s="23">
        <f t="shared" si="30"/>
        <v>2.0770833333333334</v>
      </c>
    </row>
    <row r="236" spans="4:15" x14ac:dyDescent="0.3">
      <c r="D236">
        <v>228</v>
      </c>
      <c r="E236" s="26">
        <v>44502</v>
      </c>
      <c r="F236" s="22" t="s">
        <v>95</v>
      </c>
      <c r="G236" s="21">
        <f>4072*3</f>
        <v>12216</v>
      </c>
      <c r="H236" s="22">
        <v>30</v>
      </c>
      <c r="I236" s="43">
        <f>H236*D4</f>
        <v>3780</v>
      </c>
      <c r="J236" s="41">
        <f t="shared" si="31"/>
        <v>8436</v>
      </c>
      <c r="K236" s="23">
        <f t="shared" si="30"/>
        <v>2.2317460317460318</v>
      </c>
    </row>
    <row r="237" spans="4:15" x14ac:dyDescent="0.3">
      <c r="D237">
        <v>229</v>
      </c>
      <c r="E237" s="26">
        <v>44502</v>
      </c>
      <c r="F237" s="22" t="s">
        <v>94</v>
      </c>
      <c r="G237" s="21">
        <f>2*3040</f>
        <v>6080</v>
      </c>
      <c r="H237" s="22">
        <v>20</v>
      </c>
      <c r="I237" s="43">
        <f>H237*D2</f>
        <v>1980</v>
      </c>
      <c r="J237" s="41">
        <f t="shared" si="31"/>
        <v>4100</v>
      </c>
      <c r="K237" s="23">
        <f t="shared" si="30"/>
        <v>2.0707070707070705</v>
      </c>
    </row>
    <row r="238" spans="4:15" x14ac:dyDescent="0.3">
      <c r="D238">
        <v>230</v>
      </c>
      <c r="E238" s="22"/>
      <c r="F238" s="22" t="s">
        <v>101</v>
      </c>
      <c r="G238" s="21">
        <f>7340*4</f>
        <v>29360</v>
      </c>
      <c r="H238" s="22">
        <f>20</f>
        <v>20</v>
      </c>
      <c r="I238" s="41">
        <f>H238*B4</f>
        <v>9380</v>
      </c>
      <c r="J238" s="41">
        <f t="shared" si="31"/>
        <v>19980</v>
      </c>
      <c r="K238" s="23">
        <f t="shared" si="30"/>
        <v>2.1300639658848612</v>
      </c>
    </row>
    <row r="239" spans="4:15" x14ac:dyDescent="0.3">
      <c r="D239">
        <v>231</v>
      </c>
      <c r="E239" s="26">
        <v>44503</v>
      </c>
      <c r="F239" s="22" t="s">
        <v>98</v>
      </c>
      <c r="G239" s="21">
        <f>5620*2</f>
        <v>11240</v>
      </c>
      <c r="H239" s="22">
        <v>20</v>
      </c>
      <c r="I239" s="43">
        <f>H239*D3</f>
        <v>3940</v>
      </c>
      <c r="J239" s="41">
        <f t="shared" ref="J239:J282" si="32">G239-I239</f>
        <v>7300</v>
      </c>
      <c r="K239" s="23">
        <f t="shared" si="30"/>
        <v>1.8527918781725887</v>
      </c>
    </row>
    <row r="240" spans="4:15" x14ac:dyDescent="0.3">
      <c r="D240">
        <v>232</v>
      </c>
      <c r="E240" s="26">
        <v>44503</v>
      </c>
      <c r="F240" s="22" t="s">
        <v>99</v>
      </c>
      <c r="G240" s="21">
        <v>6738</v>
      </c>
      <c r="H240" s="22">
        <v>10</v>
      </c>
      <c r="I240" s="43">
        <f>H240*D5</f>
        <v>2460</v>
      </c>
      <c r="J240" s="41">
        <f t="shared" si="32"/>
        <v>4278</v>
      </c>
      <c r="K240" s="23">
        <f t="shared" si="30"/>
        <v>1.7390243902439024</v>
      </c>
    </row>
    <row r="241" spans="4:11" x14ac:dyDescent="0.3">
      <c r="D241">
        <v>233</v>
      </c>
      <c r="E241" s="26">
        <v>44503</v>
      </c>
      <c r="F241" s="22" t="s">
        <v>95</v>
      </c>
      <c r="G241" s="21">
        <v>4072</v>
      </c>
      <c r="H241" s="22">
        <v>10</v>
      </c>
      <c r="I241" s="43">
        <f>H241*D4</f>
        <v>1260</v>
      </c>
      <c r="J241" s="41">
        <f t="shared" si="32"/>
        <v>2812</v>
      </c>
      <c r="K241" s="23">
        <f t="shared" si="30"/>
        <v>2.2317460317460318</v>
      </c>
    </row>
    <row r="242" spans="4:11" x14ac:dyDescent="0.3">
      <c r="D242">
        <v>234</v>
      </c>
      <c r="E242" s="26">
        <v>44503</v>
      </c>
      <c r="F242" s="22" t="s">
        <v>112</v>
      </c>
      <c r="G242" s="21">
        <v>2954</v>
      </c>
      <c r="H242" s="22">
        <v>20</v>
      </c>
      <c r="I242" s="41">
        <f>H242*B6</f>
        <v>960</v>
      </c>
      <c r="J242" s="41">
        <f t="shared" si="32"/>
        <v>1994</v>
      </c>
      <c r="K242" s="23">
        <f t="shared" si="30"/>
        <v>2.0770833333333334</v>
      </c>
    </row>
    <row r="243" spans="4:11" x14ac:dyDescent="0.3">
      <c r="D243">
        <v>235</v>
      </c>
      <c r="E243" s="26">
        <v>44505</v>
      </c>
      <c r="F243" s="22" t="s">
        <v>95</v>
      </c>
      <c r="G243" s="21">
        <v>4072</v>
      </c>
      <c r="H243" s="22">
        <v>10</v>
      </c>
      <c r="I243" s="43">
        <f>H243*D4</f>
        <v>1260</v>
      </c>
      <c r="J243" s="41">
        <f t="shared" si="32"/>
        <v>2812</v>
      </c>
      <c r="K243" s="23">
        <f t="shared" si="30"/>
        <v>2.2317460317460318</v>
      </c>
    </row>
    <row r="244" spans="4:11" x14ac:dyDescent="0.3">
      <c r="D244">
        <v>236</v>
      </c>
      <c r="E244" s="26">
        <v>44504</v>
      </c>
      <c r="F244" s="22" t="s">
        <v>112</v>
      </c>
      <c r="G244" s="21">
        <v>2954</v>
      </c>
      <c r="H244" s="22">
        <v>20</v>
      </c>
      <c r="I244" s="41">
        <f>H244*B6</f>
        <v>960</v>
      </c>
      <c r="J244" s="41">
        <f t="shared" si="32"/>
        <v>1994</v>
      </c>
      <c r="K244" s="23">
        <f t="shared" si="30"/>
        <v>2.0770833333333334</v>
      </c>
    </row>
    <row r="245" spans="4:11" x14ac:dyDescent="0.3">
      <c r="D245">
        <v>237</v>
      </c>
      <c r="E245" s="26">
        <v>44504</v>
      </c>
      <c r="F245" s="22" t="s">
        <v>94</v>
      </c>
      <c r="G245" s="21">
        <f>4000-960</f>
        <v>3040</v>
      </c>
      <c r="H245" s="22">
        <v>10</v>
      </c>
      <c r="I245" s="43">
        <f>H245*D2</f>
        <v>990</v>
      </c>
      <c r="J245" s="41">
        <f t="shared" si="32"/>
        <v>2050</v>
      </c>
      <c r="K245" s="23">
        <f t="shared" si="30"/>
        <v>2.0707070707070705</v>
      </c>
    </row>
    <row r="246" spans="4:11" x14ac:dyDescent="0.3">
      <c r="D246">
        <v>238</v>
      </c>
      <c r="E246" s="26">
        <v>44504</v>
      </c>
      <c r="F246" s="22" t="s">
        <v>95</v>
      </c>
      <c r="G246" s="21">
        <v>4072</v>
      </c>
      <c r="H246" s="22">
        <v>10</v>
      </c>
      <c r="I246" s="43">
        <f>H246*D4</f>
        <v>1260</v>
      </c>
      <c r="J246" s="41">
        <f t="shared" si="32"/>
        <v>2812</v>
      </c>
      <c r="K246" s="23">
        <f t="shared" si="30"/>
        <v>2.2317460317460318</v>
      </c>
    </row>
    <row r="247" spans="4:11" x14ac:dyDescent="0.3">
      <c r="D247">
        <v>239</v>
      </c>
      <c r="E247" s="26">
        <v>44504</v>
      </c>
      <c r="F247" s="22" t="s">
        <v>101</v>
      </c>
      <c r="G247" s="21">
        <f>7340*2</f>
        <v>14680</v>
      </c>
      <c r="H247" s="22">
        <v>10</v>
      </c>
      <c r="I247" s="41">
        <f>H247*B4</f>
        <v>4690</v>
      </c>
      <c r="J247" s="41">
        <f t="shared" si="32"/>
        <v>9990</v>
      </c>
      <c r="K247" s="23">
        <f t="shared" si="30"/>
        <v>2.1300639658848612</v>
      </c>
    </row>
    <row r="248" spans="4:11" x14ac:dyDescent="0.3">
      <c r="D248">
        <v>240</v>
      </c>
      <c r="E248" s="26">
        <v>44504</v>
      </c>
      <c r="F248" s="22" t="s">
        <v>99</v>
      </c>
      <c r="G248" s="21">
        <f>6738*3</f>
        <v>20214</v>
      </c>
      <c r="H248" s="22">
        <v>30</v>
      </c>
      <c r="I248" s="43">
        <f>H248*D5</f>
        <v>7380</v>
      </c>
      <c r="J248" s="41">
        <f t="shared" si="32"/>
        <v>12834</v>
      </c>
      <c r="K248" s="23">
        <f t="shared" si="30"/>
        <v>1.7390243902439024</v>
      </c>
    </row>
    <row r="249" spans="4:11" x14ac:dyDescent="0.3">
      <c r="D249">
        <v>241</v>
      </c>
      <c r="E249" s="26">
        <v>44505</v>
      </c>
      <c r="F249" s="22" t="s">
        <v>113</v>
      </c>
      <c r="G249" s="21">
        <v>3728</v>
      </c>
      <c r="H249" s="22">
        <v>20</v>
      </c>
      <c r="I249" s="41">
        <f>H249*B7</f>
        <v>1400</v>
      </c>
      <c r="J249" s="41">
        <f t="shared" si="32"/>
        <v>2328</v>
      </c>
      <c r="K249" s="23">
        <f t="shared" si="30"/>
        <v>1.6628571428571428</v>
      </c>
    </row>
    <row r="250" spans="4:11" x14ac:dyDescent="0.3">
      <c r="D250">
        <v>242</v>
      </c>
      <c r="E250" s="26">
        <v>44506</v>
      </c>
      <c r="F250" s="22" t="s">
        <v>112</v>
      </c>
      <c r="G250" s="21">
        <f>2954*2</f>
        <v>5908</v>
      </c>
      <c r="H250" s="22">
        <v>40</v>
      </c>
      <c r="I250" s="41">
        <f>H250*B6</f>
        <v>1920</v>
      </c>
      <c r="J250" s="41">
        <f t="shared" si="32"/>
        <v>3988</v>
      </c>
      <c r="K250" s="23">
        <f t="shared" si="30"/>
        <v>2.0770833333333334</v>
      </c>
    </row>
    <row r="251" spans="4:11" x14ac:dyDescent="0.3">
      <c r="D251">
        <v>243</v>
      </c>
      <c r="E251" s="26">
        <v>44508</v>
      </c>
      <c r="F251" s="22" t="s">
        <v>95</v>
      </c>
      <c r="G251" s="21">
        <v>4072</v>
      </c>
      <c r="H251" s="22">
        <v>10</v>
      </c>
      <c r="I251" s="43">
        <f>H251*D4</f>
        <v>1260</v>
      </c>
      <c r="J251" s="41">
        <f t="shared" si="32"/>
        <v>2812</v>
      </c>
      <c r="K251" s="23">
        <f t="shared" si="30"/>
        <v>2.2317460317460318</v>
      </c>
    </row>
    <row r="252" spans="4:11" x14ac:dyDescent="0.3">
      <c r="D252">
        <v>244</v>
      </c>
      <c r="E252" s="26">
        <v>44508</v>
      </c>
      <c r="F252" s="22" t="s">
        <v>95</v>
      </c>
      <c r="G252" s="21">
        <f>4072*2</f>
        <v>8144</v>
      </c>
      <c r="H252" s="22">
        <v>20</v>
      </c>
      <c r="I252" s="43">
        <f>H252*D4</f>
        <v>2520</v>
      </c>
      <c r="J252" s="41">
        <f t="shared" si="32"/>
        <v>5624</v>
      </c>
      <c r="K252" s="23">
        <f t="shared" si="30"/>
        <v>2.2317460317460318</v>
      </c>
    </row>
    <row r="253" spans="4:11" x14ac:dyDescent="0.3">
      <c r="D253">
        <v>245</v>
      </c>
      <c r="E253" s="26">
        <v>44508</v>
      </c>
      <c r="F253" s="22" t="s">
        <v>112</v>
      </c>
      <c r="G253" s="21">
        <v>2954</v>
      </c>
      <c r="H253" s="22">
        <v>20</v>
      </c>
      <c r="I253" s="41">
        <f>H253*B6</f>
        <v>960</v>
      </c>
      <c r="J253" s="41">
        <f t="shared" si="32"/>
        <v>1994</v>
      </c>
      <c r="K253" s="23">
        <f t="shared" si="30"/>
        <v>2.0770833333333334</v>
      </c>
    </row>
    <row r="254" spans="4:11" x14ac:dyDescent="0.3">
      <c r="D254">
        <v>246</v>
      </c>
      <c r="E254" s="26">
        <v>44508</v>
      </c>
      <c r="F254" s="22" t="s">
        <v>95</v>
      </c>
      <c r="G254" s="21">
        <f>4072*5</f>
        <v>20360</v>
      </c>
      <c r="H254" s="22">
        <v>50</v>
      </c>
      <c r="I254" s="43">
        <f>H254*D4</f>
        <v>6300</v>
      </c>
      <c r="J254" s="41">
        <f t="shared" si="32"/>
        <v>14060</v>
      </c>
      <c r="K254" s="23">
        <f t="shared" si="30"/>
        <v>2.2317460317460318</v>
      </c>
    </row>
    <row r="255" spans="4:11" x14ac:dyDescent="0.3">
      <c r="D255">
        <v>247</v>
      </c>
      <c r="E255" s="26">
        <v>44508</v>
      </c>
      <c r="F255" s="22" t="s">
        <v>96</v>
      </c>
      <c r="G255" s="21">
        <v>5190</v>
      </c>
      <c r="H255" s="22">
        <v>10</v>
      </c>
      <c r="I255" s="43">
        <f>H255*D6</f>
        <v>1570</v>
      </c>
      <c r="J255" s="41">
        <f t="shared" si="32"/>
        <v>3620</v>
      </c>
      <c r="K255" s="23">
        <f t="shared" si="30"/>
        <v>2.3057324840764331</v>
      </c>
    </row>
    <row r="256" spans="4:11" x14ac:dyDescent="0.3">
      <c r="D256">
        <v>248</v>
      </c>
      <c r="E256" s="26">
        <v>44508</v>
      </c>
      <c r="F256" s="22" t="s">
        <v>112</v>
      </c>
      <c r="G256" s="21">
        <v>5908</v>
      </c>
      <c r="H256" s="22">
        <v>40</v>
      </c>
      <c r="I256" s="41">
        <f>H256*B6</f>
        <v>1920</v>
      </c>
      <c r="J256" s="41">
        <f t="shared" si="32"/>
        <v>3988</v>
      </c>
      <c r="K256" s="23">
        <f t="shared" si="30"/>
        <v>2.0770833333333334</v>
      </c>
    </row>
    <row r="257" spans="4:11" x14ac:dyDescent="0.3">
      <c r="D257">
        <v>249</v>
      </c>
      <c r="E257" s="26">
        <v>44510</v>
      </c>
      <c r="F257" s="22" t="s">
        <v>99</v>
      </c>
      <c r="G257" s="21">
        <f>6738*2</f>
        <v>13476</v>
      </c>
      <c r="H257" s="22">
        <v>20</v>
      </c>
      <c r="I257" s="43">
        <f>H257*D5</f>
        <v>4920</v>
      </c>
      <c r="J257" s="41">
        <f t="shared" si="32"/>
        <v>8556</v>
      </c>
      <c r="K257" s="23">
        <f t="shared" si="30"/>
        <v>1.7390243902439024</v>
      </c>
    </row>
    <row r="258" spans="4:11" x14ac:dyDescent="0.3">
      <c r="D258">
        <v>250</v>
      </c>
      <c r="E258" s="26">
        <v>44511</v>
      </c>
      <c r="F258" s="22" t="s">
        <v>101</v>
      </c>
      <c r="G258" s="21">
        <v>7340</v>
      </c>
      <c r="H258" s="22">
        <v>5</v>
      </c>
      <c r="I258" s="41">
        <f>H258*B4</f>
        <v>2345</v>
      </c>
      <c r="J258" s="41">
        <f t="shared" si="32"/>
        <v>4995</v>
      </c>
      <c r="K258" s="23">
        <f t="shared" si="30"/>
        <v>2.1300639658848612</v>
      </c>
    </row>
    <row r="259" spans="4:11" x14ac:dyDescent="0.3">
      <c r="D259">
        <v>251</v>
      </c>
      <c r="E259" s="26">
        <v>44511</v>
      </c>
      <c r="F259" s="22" t="s">
        <v>98</v>
      </c>
      <c r="G259" s="21">
        <v>28100</v>
      </c>
      <c r="H259" s="22">
        <v>50</v>
      </c>
      <c r="I259" s="43">
        <f>H259*D3</f>
        <v>9850</v>
      </c>
      <c r="J259" s="41">
        <f t="shared" si="32"/>
        <v>18250</v>
      </c>
      <c r="K259" s="23">
        <f t="shared" si="30"/>
        <v>1.8527918781725887</v>
      </c>
    </row>
    <row r="260" spans="4:11" x14ac:dyDescent="0.3">
      <c r="D260">
        <v>252</v>
      </c>
      <c r="E260" s="26">
        <v>44514</v>
      </c>
      <c r="F260" s="22" t="s">
        <v>95</v>
      </c>
      <c r="G260" s="21">
        <v>4072</v>
      </c>
      <c r="H260" s="22">
        <v>10</v>
      </c>
      <c r="I260" s="43">
        <f>H260*D4</f>
        <v>1260</v>
      </c>
      <c r="J260" s="41">
        <f t="shared" si="32"/>
        <v>2812</v>
      </c>
      <c r="K260" s="23">
        <f t="shared" si="30"/>
        <v>2.2317460317460318</v>
      </c>
    </row>
    <row r="261" spans="4:11" x14ac:dyDescent="0.3">
      <c r="D261">
        <v>253</v>
      </c>
      <c r="E261" s="26">
        <v>44515</v>
      </c>
      <c r="F261" s="22" t="s">
        <v>112</v>
      </c>
      <c r="G261" s="21">
        <f>2954*5</f>
        <v>14770</v>
      </c>
      <c r="H261" s="22">
        <v>100</v>
      </c>
      <c r="I261" s="41">
        <f>H261*B6</f>
        <v>4800</v>
      </c>
      <c r="J261" s="41">
        <f t="shared" si="32"/>
        <v>9970</v>
      </c>
      <c r="K261" s="23">
        <f t="shared" si="30"/>
        <v>2.0770833333333334</v>
      </c>
    </row>
    <row r="262" spans="4:11" x14ac:dyDescent="0.3">
      <c r="D262">
        <v>254</v>
      </c>
      <c r="E262" s="26">
        <v>44517</v>
      </c>
      <c r="F262" s="22" t="s">
        <v>101</v>
      </c>
      <c r="G262" s="21">
        <v>7340</v>
      </c>
      <c r="H262" s="22">
        <v>5</v>
      </c>
      <c r="I262" s="41">
        <f>H262*B4</f>
        <v>2345</v>
      </c>
      <c r="J262" s="41">
        <f t="shared" si="32"/>
        <v>4995</v>
      </c>
      <c r="K262" s="23">
        <f t="shared" si="30"/>
        <v>2.1300639658848612</v>
      </c>
    </row>
    <row r="263" spans="4:11" x14ac:dyDescent="0.3">
      <c r="D263">
        <v>255</v>
      </c>
      <c r="E263" s="26">
        <v>44517</v>
      </c>
      <c r="F263" s="22" t="s">
        <v>99</v>
      </c>
      <c r="G263" s="21">
        <v>6738</v>
      </c>
      <c r="H263" s="22">
        <v>10</v>
      </c>
      <c r="I263" s="43">
        <f>H263*D5</f>
        <v>2460</v>
      </c>
      <c r="J263" s="41">
        <f t="shared" si="32"/>
        <v>4278</v>
      </c>
      <c r="K263" s="23">
        <f t="shared" si="30"/>
        <v>1.7390243902439024</v>
      </c>
    </row>
    <row r="264" spans="4:11" x14ac:dyDescent="0.3">
      <c r="D264">
        <v>256</v>
      </c>
      <c r="E264" s="26">
        <v>44517</v>
      </c>
      <c r="F264" s="22" t="s">
        <v>100</v>
      </c>
      <c r="G264" s="21">
        <v>4932</v>
      </c>
      <c r="H264" s="22">
        <v>5</v>
      </c>
      <c r="I264" s="41">
        <f>H264*B3</f>
        <v>1640</v>
      </c>
      <c r="J264" s="41">
        <f t="shared" si="32"/>
        <v>3292</v>
      </c>
      <c r="K264" s="23">
        <f t="shared" si="30"/>
        <v>2.0073170731707317</v>
      </c>
    </row>
    <row r="265" spans="4:11" x14ac:dyDescent="0.3">
      <c r="D265">
        <v>257</v>
      </c>
      <c r="E265" s="26">
        <v>44518</v>
      </c>
      <c r="F265" s="22" t="s">
        <v>95</v>
      </c>
      <c r="G265" s="21">
        <f>4072*5</f>
        <v>20360</v>
      </c>
      <c r="H265" s="22">
        <v>50</v>
      </c>
      <c r="I265" s="43">
        <f>H265*D4</f>
        <v>6300</v>
      </c>
      <c r="J265" s="41">
        <f t="shared" si="32"/>
        <v>14060</v>
      </c>
      <c r="K265" s="23">
        <f t="shared" si="30"/>
        <v>2.2317460317460318</v>
      </c>
    </row>
    <row r="266" spans="4:11" x14ac:dyDescent="0.3">
      <c r="D266">
        <v>258</v>
      </c>
      <c r="E266" s="26">
        <v>44518</v>
      </c>
      <c r="F266" s="22" t="s">
        <v>99</v>
      </c>
      <c r="G266" s="21">
        <f>6738*2</f>
        <v>13476</v>
      </c>
      <c r="H266" s="22">
        <v>20</v>
      </c>
      <c r="I266" s="43">
        <f>H266*D5</f>
        <v>4920</v>
      </c>
      <c r="J266" s="41">
        <f t="shared" si="32"/>
        <v>8556</v>
      </c>
      <c r="K266" s="23">
        <f t="shared" si="30"/>
        <v>1.7390243902439024</v>
      </c>
    </row>
    <row r="267" spans="4:11" x14ac:dyDescent="0.3">
      <c r="D267">
        <v>259</v>
      </c>
      <c r="E267" s="26">
        <v>44518</v>
      </c>
      <c r="F267" s="22" t="s">
        <v>112</v>
      </c>
      <c r="G267" s="21">
        <v>2954</v>
      </c>
      <c r="H267" s="22">
        <v>20</v>
      </c>
      <c r="I267" s="41">
        <f>H267*B6</f>
        <v>960</v>
      </c>
      <c r="J267" s="41">
        <f t="shared" si="32"/>
        <v>1994</v>
      </c>
      <c r="K267" s="23">
        <f t="shared" si="30"/>
        <v>2.0770833333333334</v>
      </c>
    </row>
    <row r="268" spans="4:11" x14ac:dyDescent="0.3">
      <c r="D268">
        <v>260</v>
      </c>
      <c r="E268" s="26">
        <v>44518</v>
      </c>
      <c r="F268" s="22" t="s">
        <v>112</v>
      </c>
      <c r="G268" s="21">
        <v>2954</v>
      </c>
      <c r="H268" s="22">
        <v>20</v>
      </c>
      <c r="I268" s="41">
        <f>H268*B6</f>
        <v>960</v>
      </c>
      <c r="J268" s="41">
        <f t="shared" si="32"/>
        <v>1994</v>
      </c>
      <c r="K268" s="23">
        <f t="shared" si="30"/>
        <v>2.0770833333333334</v>
      </c>
    </row>
    <row r="269" spans="4:11" x14ac:dyDescent="0.3">
      <c r="D269">
        <v>261</v>
      </c>
      <c r="E269" s="26">
        <v>44519</v>
      </c>
      <c r="F269" s="22" t="s">
        <v>98</v>
      </c>
      <c r="G269" s="21">
        <v>5620</v>
      </c>
      <c r="H269" s="22">
        <v>10</v>
      </c>
      <c r="I269" s="43">
        <f>H269*D3</f>
        <v>1970</v>
      </c>
      <c r="J269" s="41">
        <f t="shared" si="32"/>
        <v>3650</v>
      </c>
      <c r="K269" s="23">
        <f t="shared" si="30"/>
        <v>1.8527918781725887</v>
      </c>
    </row>
    <row r="270" spans="4:11" x14ac:dyDescent="0.3">
      <c r="D270">
        <v>262</v>
      </c>
      <c r="E270" s="26">
        <v>44519</v>
      </c>
      <c r="F270" s="22" t="s">
        <v>98</v>
      </c>
      <c r="G270" s="21">
        <f>5620*2</f>
        <v>11240</v>
      </c>
      <c r="H270" s="22">
        <v>20</v>
      </c>
      <c r="I270" s="43">
        <f>H270*D3</f>
        <v>3940</v>
      </c>
      <c r="J270" s="41">
        <f t="shared" si="32"/>
        <v>7300</v>
      </c>
      <c r="K270" s="23">
        <f t="shared" si="30"/>
        <v>1.8527918781725887</v>
      </c>
    </row>
    <row r="271" spans="4:11" x14ac:dyDescent="0.3">
      <c r="D271">
        <v>263</v>
      </c>
      <c r="E271" s="26">
        <v>44521</v>
      </c>
      <c r="F271" s="22" t="s">
        <v>112</v>
      </c>
      <c r="G271" s="21">
        <f>2954</f>
        <v>2954</v>
      </c>
      <c r="H271" s="22">
        <v>20</v>
      </c>
      <c r="I271" s="41">
        <f>H271*B6</f>
        <v>960</v>
      </c>
      <c r="J271" s="41">
        <f t="shared" si="32"/>
        <v>1994</v>
      </c>
      <c r="K271" s="23">
        <f t="shared" si="30"/>
        <v>2.0770833333333334</v>
      </c>
    </row>
    <row r="272" spans="4:11" x14ac:dyDescent="0.3">
      <c r="D272">
        <v>264</v>
      </c>
      <c r="E272" s="26">
        <v>44521</v>
      </c>
      <c r="F272" s="22" t="s">
        <v>113</v>
      </c>
      <c r="G272" s="21">
        <v>14912</v>
      </c>
      <c r="H272" s="22">
        <v>80</v>
      </c>
      <c r="I272" s="41">
        <f>H272*B7</f>
        <v>5600</v>
      </c>
      <c r="J272" s="41">
        <f t="shared" si="32"/>
        <v>9312</v>
      </c>
      <c r="K272" s="23">
        <f t="shared" si="30"/>
        <v>1.6628571428571428</v>
      </c>
    </row>
    <row r="273" spans="4:11" x14ac:dyDescent="0.3">
      <c r="D273">
        <v>265</v>
      </c>
      <c r="E273" s="26">
        <v>44521</v>
      </c>
      <c r="F273" s="22" t="s">
        <v>101</v>
      </c>
      <c r="G273" s="21">
        <f>7340*2</f>
        <v>14680</v>
      </c>
      <c r="H273" s="22">
        <v>10</v>
      </c>
      <c r="I273" s="41">
        <f>H273*B4</f>
        <v>4690</v>
      </c>
      <c r="J273" s="41">
        <f t="shared" si="32"/>
        <v>9990</v>
      </c>
      <c r="K273" s="23">
        <f t="shared" si="30"/>
        <v>2.1300639658848612</v>
      </c>
    </row>
    <row r="274" spans="4:11" x14ac:dyDescent="0.3">
      <c r="D274">
        <v>266</v>
      </c>
      <c r="E274" s="26">
        <v>44522</v>
      </c>
      <c r="F274" s="22" t="s">
        <v>101</v>
      </c>
      <c r="G274" s="21">
        <v>7340</v>
      </c>
      <c r="H274" s="22">
        <v>5</v>
      </c>
      <c r="I274" s="41">
        <f>H274*B4</f>
        <v>2345</v>
      </c>
      <c r="J274" s="41">
        <f t="shared" si="32"/>
        <v>4995</v>
      </c>
      <c r="K274" s="23">
        <f t="shared" si="30"/>
        <v>2.1300639658848612</v>
      </c>
    </row>
    <row r="275" spans="4:11" x14ac:dyDescent="0.3">
      <c r="D275">
        <v>267</v>
      </c>
      <c r="E275" s="26">
        <v>44523</v>
      </c>
      <c r="F275" s="22" t="s">
        <v>100</v>
      </c>
      <c r="G275" s="21">
        <v>4932</v>
      </c>
      <c r="H275" s="22">
        <v>5</v>
      </c>
      <c r="I275" s="41">
        <f>H275*B3</f>
        <v>1640</v>
      </c>
      <c r="J275" s="41">
        <f t="shared" si="32"/>
        <v>3292</v>
      </c>
      <c r="K275" s="23">
        <f t="shared" si="30"/>
        <v>2.0073170731707317</v>
      </c>
    </row>
    <row r="276" spans="4:11" x14ac:dyDescent="0.3">
      <c r="D276">
        <v>268</v>
      </c>
      <c r="E276" s="26">
        <v>44523</v>
      </c>
      <c r="F276" s="22" t="s">
        <v>141</v>
      </c>
      <c r="G276" s="7">
        <f>5750-1205</f>
        <v>4545</v>
      </c>
      <c r="H276" s="22">
        <v>10</v>
      </c>
      <c r="I276" s="43">
        <f>H276*D8</f>
        <v>1350</v>
      </c>
      <c r="J276" s="41">
        <f t="shared" si="32"/>
        <v>3195</v>
      </c>
      <c r="K276" s="23">
        <f t="shared" si="30"/>
        <v>2.3666666666666667</v>
      </c>
    </row>
    <row r="277" spans="4:11" x14ac:dyDescent="0.3">
      <c r="D277">
        <v>269</v>
      </c>
      <c r="E277" s="26">
        <v>44523</v>
      </c>
      <c r="F277" s="22" t="s">
        <v>95</v>
      </c>
      <c r="G277" s="21">
        <v>4072</v>
      </c>
      <c r="H277" s="22">
        <v>10</v>
      </c>
      <c r="I277" s="43">
        <f>H277*D4</f>
        <v>1260</v>
      </c>
      <c r="J277" s="41">
        <f t="shared" si="32"/>
        <v>2812</v>
      </c>
      <c r="K277" s="23">
        <f t="shared" si="30"/>
        <v>2.2317460317460318</v>
      </c>
    </row>
    <row r="278" spans="4:11" x14ac:dyDescent="0.3">
      <c r="D278">
        <v>270</v>
      </c>
      <c r="E278" s="26">
        <v>44523</v>
      </c>
      <c r="F278" s="22" t="s">
        <v>94</v>
      </c>
      <c r="G278" s="21">
        <v>3040</v>
      </c>
      <c r="H278" s="22">
        <v>10</v>
      </c>
      <c r="I278" s="43">
        <f>H278*D2</f>
        <v>990</v>
      </c>
      <c r="J278" s="41">
        <f t="shared" si="32"/>
        <v>2050</v>
      </c>
      <c r="K278" s="23">
        <f t="shared" si="30"/>
        <v>2.0707070707070705</v>
      </c>
    </row>
    <row r="279" spans="4:11" x14ac:dyDescent="0.3">
      <c r="D279">
        <v>271</v>
      </c>
      <c r="E279" s="26">
        <v>44523</v>
      </c>
      <c r="F279" s="22" t="s">
        <v>112</v>
      </c>
      <c r="G279" s="21">
        <v>2954</v>
      </c>
      <c r="H279" s="22">
        <v>20</v>
      </c>
      <c r="I279" s="41">
        <f>H279*B6</f>
        <v>960</v>
      </c>
      <c r="J279" s="41">
        <f t="shared" si="32"/>
        <v>1994</v>
      </c>
      <c r="K279" s="23">
        <f t="shared" si="30"/>
        <v>2.0770833333333334</v>
      </c>
    </row>
    <row r="280" spans="4:11" x14ac:dyDescent="0.3">
      <c r="D280">
        <v>272</v>
      </c>
      <c r="E280" s="26">
        <v>44523</v>
      </c>
      <c r="F280" s="22" t="s">
        <v>100</v>
      </c>
      <c r="G280" s="21">
        <v>4932</v>
      </c>
      <c r="H280" s="22">
        <v>5</v>
      </c>
      <c r="I280" s="41">
        <f>H280*B3</f>
        <v>1640</v>
      </c>
      <c r="J280" s="41">
        <f t="shared" si="32"/>
        <v>3292</v>
      </c>
      <c r="K280" s="23">
        <f t="shared" si="30"/>
        <v>2.0073170731707317</v>
      </c>
    </row>
    <row r="281" spans="4:11" x14ac:dyDescent="0.3">
      <c r="D281">
        <v>273</v>
      </c>
      <c r="E281" s="26">
        <v>44523</v>
      </c>
      <c r="F281" s="22" t="s">
        <v>100</v>
      </c>
      <c r="G281" s="21">
        <v>4932</v>
      </c>
      <c r="H281" s="22">
        <v>5</v>
      </c>
      <c r="I281" s="41">
        <f>H281*B3</f>
        <v>1640</v>
      </c>
      <c r="J281" s="41">
        <f t="shared" si="32"/>
        <v>3292</v>
      </c>
      <c r="K281" s="23">
        <f t="shared" si="30"/>
        <v>2.0073170731707317</v>
      </c>
    </row>
    <row r="282" spans="4:11" x14ac:dyDescent="0.3">
      <c r="D282">
        <v>274</v>
      </c>
      <c r="E282" s="26">
        <v>44523</v>
      </c>
      <c r="F282" s="22" t="s">
        <v>100</v>
      </c>
      <c r="G282" s="21">
        <f>4932*2</f>
        <v>9864</v>
      </c>
      <c r="H282" s="22">
        <v>10</v>
      </c>
      <c r="I282" s="41">
        <f>H282*B3</f>
        <v>3280</v>
      </c>
      <c r="J282" s="41">
        <f t="shared" si="32"/>
        <v>6584</v>
      </c>
      <c r="K282" s="23">
        <f t="shared" si="30"/>
        <v>2.0073170731707317</v>
      </c>
    </row>
    <row r="283" spans="4:11" x14ac:dyDescent="0.3">
      <c r="E283" s="26">
        <v>44523</v>
      </c>
      <c r="F283" s="22" t="s">
        <v>142</v>
      </c>
      <c r="G283" s="21">
        <v>6050</v>
      </c>
      <c r="H283" s="22">
        <v>1</v>
      </c>
      <c r="I283" s="22">
        <v>2781</v>
      </c>
      <c r="J283" s="41">
        <f>G283-I283</f>
        <v>3269</v>
      </c>
      <c r="K283" s="23">
        <f t="shared" si="30"/>
        <v>1.1754764473211075</v>
      </c>
    </row>
    <row r="284" spans="4:11" x14ac:dyDescent="0.3">
      <c r="E284" s="26">
        <v>44524</v>
      </c>
      <c r="F284" s="22" t="s">
        <v>98</v>
      </c>
      <c r="G284" s="21">
        <v>6050</v>
      </c>
      <c r="H284" s="22">
        <v>10</v>
      </c>
      <c r="I284" s="43">
        <f>H284*D3</f>
        <v>1970</v>
      </c>
      <c r="J284" s="41">
        <f>G284-I284</f>
        <v>4080</v>
      </c>
      <c r="K284" s="23">
        <f t="shared" si="30"/>
        <v>2.0710659898477157</v>
      </c>
    </row>
    <row r="285" spans="4:11" x14ac:dyDescent="0.3">
      <c r="E285" s="26">
        <v>44524</v>
      </c>
      <c r="F285" s="22" t="s">
        <v>99</v>
      </c>
      <c r="G285" s="21">
        <v>6738</v>
      </c>
      <c r="H285" s="22">
        <v>10</v>
      </c>
      <c r="I285" s="43">
        <f>H285*D5</f>
        <v>2460</v>
      </c>
      <c r="J285" s="41">
        <f t="shared" ref="J285:J294" si="33">G285-I285</f>
        <v>4278</v>
      </c>
      <c r="K285" s="23">
        <f t="shared" si="30"/>
        <v>1.7390243902439024</v>
      </c>
    </row>
    <row r="286" spans="4:11" x14ac:dyDescent="0.3">
      <c r="E286" s="26">
        <v>44524</v>
      </c>
      <c r="F286" s="22" t="s">
        <v>98</v>
      </c>
      <c r="G286" s="21">
        <v>6050</v>
      </c>
      <c r="H286" s="22">
        <v>10</v>
      </c>
      <c r="I286" s="43">
        <f>H286*D3</f>
        <v>1970</v>
      </c>
      <c r="J286" s="41">
        <f t="shared" si="33"/>
        <v>4080</v>
      </c>
      <c r="K286" s="23">
        <f t="shared" si="30"/>
        <v>2.0710659898477157</v>
      </c>
    </row>
    <row r="287" spans="4:11" x14ac:dyDescent="0.3">
      <c r="E287" s="26">
        <v>44525</v>
      </c>
      <c r="F287" s="22" t="s">
        <v>94</v>
      </c>
      <c r="G287" s="21">
        <v>3040</v>
      </c>
      <c r="H287" s="22">
        <v>10</v>
      </c>
      <c r="I287" s="43">
        <f>H287*D2</f>
        <v>990</v>
      </c>
      <c r="J287" s="41">
        <f t="shared" si="33"/>
        <v>2050</v>
      </c>
      <c r="K287" s="23">
        <f t="shared" si="30"/>
        <v>2.0707070707070705</v>
      </c>
    </row>
    <row r="288" spans="4:11" x14ac:dyDescent="0.3">
      <c r="E288" s="26">
        <v>44525</v>
      </c>
      <c r="F288" s="22" t="s">
        <v>95</v>
      </c>
      <c r="G288" s="21">
        <v>4072</v>
      </c>
      <c r="H288" s="22">
        <v>10</v>
      </c>
      <c r="I288" s="43">
        <f>H288*D4</f>
        <v>1260</v>
      </c>
      <c r="J288" s="41">
        <f t="shared" si="33"/>
        <v>2812</v>
      </c>
      <c r="K288" s="23">
        <f t="shared" si="30"/>
        <v>2.2317460317460318</v>
      </c>
    </row>
    <row r="289" spans="5:11" x14ac:dyDescent="0.3">
      <c r="E289" s="26">
        <v>44525</v>
      </c>
      <c r="F289" s="22" t="s">
        <v>141</v>
      </c>
      <c r="G289" s="21">
        <v>4545</v>
      </c>
      <c r="H289" s="22">
        <v>10</v>
      </c>
      <c r="I289" s="43">
        <f>H289*D8</f>
        <v>1350</v>
      </c>
      <c r="J289" s="41">
        <f t="shared" si="33"/>
        <v>3195</v>
      </c>
      <c r="K289" s="23">
        <f t="shared" si="30"/>
        <v>2.3666666666666667</v>
      </c>
    </row>
    <row r="290" spans="5:11" x14ac:dyDescent="0.3">
      <c r="E290" s="26">
        <v>44525</v>
      </c>
      <c r="F290" s="44" t="s">
        <v>96</v>
      </c>
      <c r="G290" s="21">
        <v>5190</v>
      </c>
      <c r="H290" s="22">
        <v>10</v>
      </c>
      <c r="I290" s="43">
        <f>H290*D6</f>
        <v>1570</v>
      </c>
      <c r="J290" s="41">
        <f t="shared" si="33"/>
        <v>3620</v>
      </c>
      <c r="K290" s="23">
        <f>J290/I290</f>
        <v>2.3057324840764331</v>
      </c>
    </row>
    <row r="291" spans="5:11" x14ac:dyDescent="0.3">
      <c r="E291" s="26">
        <v>44525</v>
      </c>
      <c r="F291" s="22" t="s">
        <v>101</v>
      </c>
      <c r="G291" s="21">
        <v>7340</v>
      </c>
      <c r="H291" s="22">
        <v>5</v>
      </c>
      <c r="I291" s="41">
        <f>H291*B4</f>
        <v>2345</v>
      </c>
      <c r="J291" s="41">
        <f t="shared" si="33"/>
        <v>4995</v>
      </c>
      <c r="K291" s="23">
        <f>J291/I291</f>
        <v>2.1300639658848612</v>
      </c>
    </row>
    <row r="292" spans="5:11" x14ac:dyDescent="0.3">
      <c r="E292" s="26">
        <v>44525</v>
      </c>
      <c r="F292" s="22" t="s">
        <v>142</v>
      </c>
      <c r="G292" s="21">
        <v>6050</v>
      </c>
      <c r="H292" s="22">
        <v>1</v>
      </c>
      <c r="I292" s="54">
        <f>Q8</f>
        <v>2781</v>
      </c>
      <c r="J292" s="41">
        <f t="shared" si="33"/>
        <v>3269</v>
      </c>
      <c r="K292" s="23">
        <f>J292/I292</f>
        <v>1.1754764473211075</v>
      </c>
    </row>
    <row r="293" spans="5:11" x14ac:dyDescent="0.3">
      <c r="E293" s="26">
        <v>44527</v>
      </c>
      <c r="F293" s="22" t="s">
        <v>112</v>
      </c>
      <c r="G293" s="21">
        <v>2954</v>
      </c>
      <c r="H293" s="22">
        <v>20</v>
      </c>
      <c r="I293" s="41">
        <f>H293*B6</f>
        <v>960</v>
      </c>
      <c r="J293" s="41">
        <f t="shared" si="33"/>
        <v>1994</v>
      </c>
      <c r="K293" s="23">
        <f>J293/I293</f>
        <v>2.0770833333333334</v>
      </c>
    </row>
    <row r="294" spans="5:11" x14ac:dyDescent="0.3">
      <c r="E294" s="26">
        <v>44531</v>
      </c>
      <c r="F294" s="22" t="s">
        <v>99</v>
      </c>
      <c r="G294" s="21">
        <v>7082</v>
      </c>
      <c r="H294" s="22">
        <v>10</v>
      </c>
      <c r="I294" s="43">
        <f>H294*D5</f>
        <v>2460</v>
      </c>
      <c r="J294" s="41">
        <f t="shared" si="33"/>
        <v>4622</v>
      </c>
      <c r="K294" s="23">
        <f>J294/I294</f>
        <v>1.8788617886178862</v>
      </c>
    </row>
    <row r="295" spans="5:11" x14ac:dyDescent="0.3">
      <c r="E295" s="26">
        <v>44533</v>
      </c>
      <c r="F295" s="22" t="s">
        <v>112</v>
      </c>
      <c r="G295" s="21">
        <v>2954</v>
      </c>
      <c r="H295" s="22">
        <v>20</v>
      </c>
      <c r="I295" s="22"/>
      <c r="J295" s="22"/>
      <c r="K295" s="23"/>
    </row>
    <row r="296" spans="5:11" x14ac:dyDescent="0.3">
      <c r="E296" s="26">
        <v>44534</v>
      </c>
      <c r="F296" s="22" t="s">
        <v>102</v>
      </c>
      <c r="G296" s="21">
        <v>7770</v>
      </c>
      <c r="H296" s="22">
        <v>5</v>
      </c>
      <c r="I296" s="22"/>
      <c r="J296" s="22"/>
      <c r="K296" s="23"/>
    </row>
    <row r="297" spans="5:11" x14ac:dyDescent="0.3">
      <c r="E297" s="26">
        <v>44534</v>
      </c>
      <c r="F297" s="22" t="s">
        <v>97</v>
      </c>
      <c r="G297" s="21">
        <f>16000-3040</f>
        <v>12960</v>
      </c>
      <c r="H297" s="22">
        <v>20</v>
      </c>
      <c r="I297" s="22"/>
      <c r="J297" s="22"/>
      <c r="K297" s="23"/>
    </row>
    <row r="298" spans="5:11" x14ac:dyDescent="0.3">
      <c r="E298" s="26">
        <v>44534</v>
      </c>
      <c r="F298" s="22" t="s">
        <v>98</v>
      </c>
      <c r="G298" s="21">
        <f>7500*2-2900</f>
        <v>12100</v>
      </c>
      <c r="H298" s="22">
        <v>20</v>
      </c>
      <c r="I298" s="22"/>
      <c r="J298" s="22"/>
      <c r="K298" s="23"/>
    </row>
    <row r="299" spans="5:11" x14ac:dyDescent="0.3">
      <c r="E299" s="26">
        <v>44534</v>
      </c>
      <c r="F299" s="22" t="s">
        <v>112</v>
      </c>
      <c r="G299" s="21">
        <f>2954*2</f>
        <v>5908</v>
      </c>
      <c r="H299" s="22">
        <v>40</v>
      </c>
      <c r="I299" s="22"/>
      <c r="J299" s="22"/>
      <c r="K299" s="23"/>
    </row>
    <row r="300" spans="5:11" x14ac:dyDescent="0.3">
      <c r="E300" s="26">
        <v>44536</v>
      </c>
      <c r="F300" s="22" t="s">
        <v>112</v>
      </c>
      <c r="G300" s="21">
        <v>2954</v>
      </c>
      <c r="H300" s="22">
        <v>20</v>
      </c>
      <c r="I300" s="22"/>
      <c r="J300" s="22"/>
      <c r="K300" s="23"/>
    </row>
    <row r="301" spans="5:11" x14ac:dyDescent="0.3">
      <c r="E301" s="26">
        <v>44538</v>
      </c>
      <c r="F301" s="22" t="s">
        <v>102</v>
      </c>
      <c r="G301" s="21">
        <v>7770</v>
      </c>
      <c r="H301" s="22">
        <v>5</v>
      </c>
      <c r="I301" s="22"/>
      <c r="J301" s="22"/>
      <c r="K301" s="23"/>
    </row>
    <row r="302" spans="5:11" x14ac:dyDescent="0.3">
      <c r="E302" s="26">
        <v>44538</v>
      </c>
      <c r="F302" s="22" t="s">
        <v>102</v>
      </c>
      <c r="G302" s="21">
        <v>7770</v>
      </c>
      <c r="H302" s="22">
        <v>5</v>
      </c>
      <c r="I302" s="22"/>
      <c r="J302" s="22"/>
      <c r="K302" s="23"/>
    </row>
    <row r="303" spans="5:11" x14ac:dyDescent="0.3">
      <c r="E303" s="26">
        <v>44538</v>
      </c>
      <c r="F303" s="22" t="s">
        <v>100</v>
      </c>
      <c r="G303" s="21">
        <v>4932</v>
      </c>
      <c r="H303" s="22">
        <v>5</v>
      </c>
      <c r="I303" s="22"/>
      <c r="J303" s="22"/>
      <c r="K303" s="23"/>
    </row>
    <row r="304" spans="5:11" x14ac:dyDescent="0.3">
      <c r="E304" s="26">
        <v>44538</v>
      </c>
      <c r="F304" s="22" t="s">
        <v>97</v>
      </c>
      <c r="G304" s="21">
        <f>4500-1030</f>
        <v>3470</v>
      </c>
      <c r="H304" s="22">
        <v>5</v>
      </c>
      <c r="I304" s="22"/>
      <c r="J304" s="22"/>
      <c r="K304" s="23"/>
    </row>
    <row r="305" spans="5:11" x14ac:dyDescent="0.3">
      <c r="E305" s="26">
        <v>44538</v>
      </c>
      <c r="F305" s="22" t="s">
        <v>98</v>
      </c>
      <c r="G305" s="21">
        <v>6050</v>
      </c>
      <c r="H305" s="22">
        <v>10</v>
      </c>
      <c r="I305" s="22"/>
      <c r="J305" s="22"/>
      <c r="K305" s="23"/>
    </row>
    <row r="306" spans="5:11" x14ac:dyDescent="0.3">
      <c r="E306" s="26">
        <v>44538</v>
      </c>
      <c r="F306" s="22" t="s">
        <v>101</v>
      </c>
      <c r="G306" s="21">
        <v>7340</v>
      </c>
      <c r="H306" s="22">
        <v>5</v>
      </c>
      <c r="I306" s="22"/>
      <c r="J306" s="22"/>
      <c r="K306" s="23"/>
    </row>
    <row r="307" spans="5:11" x14ac:dyDescent="0.3">
      <c r="E307" s="26">
        <v>44540</v>
      </c>
      <c r="F307" s="22" t="s">
        <v>144</v>
      </c>
      <c r="G307" s="21">
        <v>3776</v>
      </c>
      <c r="H307" s="22">
        <v>30</v>
      </c>
      <c r="I307" s="22"/>
      <c r="J307" s="22"/>
      <c r="K307" s="23"/>
    </row>
    <row r="308" spans="5:11" x14ac:dyDescent="0.3">
      <c r="E308" s="26">
        <v>44541</v>
      </c>
      <c r="F308" s="22" t="s">
        <v>94</v>
      </c>
      <c r="G308" s="21">
        <v>3298</v>
      </c>
      <c r="H308" s="22">
        <v>10</v>
      </c>
      <c r="I308" s="22"/>
      <c r="J308" s="22"/>
      <c r="K308" s="23"/>
    </row>
    <row r="309" spans="5:11" x14ac:dyDescent="0.3">
      <c r="E309" s="26">
        <v>44542</v>
      </c>
      <c r="F309" s="22" t="s">
        <v>112</v>
      </c>
      <c r="G309" s="21">
        <v>2954</v>
      </c>
      <c r="H309" s="22">
        <v>20</v>
      </c>
      <c r="I309" s="22"/>
      <c r="J309" s="22"/>
      <c r="K309" s="23"/>
    </row>
    <row r="310" spans="5:11" x14ac:dyDescent="0.3">
      <c r="E310" s="26">
        <v>44544</v>
      </c>
      <c r="F310" s="22" t="s">
        <v>112</v>
      </c>
      <c r="G310" s="21">
        <v>2954</v>
      </c>
      <c r="H310" s="22">
        <v>20</v>
      </c>
      <c r="I310" s="22"/>
      <c r="J310" s="22"/>
      <c r="K310" s="23"/>
    </row>
    <row r="311" spans="5:11" x14ac:dyDescent="0.3">
      <c r="E311" s="26">
        <v>44544</v>
      </c>
      <c r="F311" s="22" t="s">
        <v>101</v>
      </c>
      <c r="G311" s="21">
        <f>7340*2</f>
        <v>14680</v>
      </c>
      <c r="H311" s="22">
        <v>10</v>
      </c>
      <c r="I311" s="22"/>
      <c r="J311" s="22"/>
      <c r="K311" s="23"/>
    </row>
    <row r="312" spans="5:11" x14ac:dyDescent="0.3">
      <c r="E312" s="26">
        <v>44545</v>
      </c>
      <c r="F312" s="22" t="s">
        <v>97</v>
      </c>
      <c r="G312" s="21">
        <f>8000*2-3040</f>
        <v>12960</v>
      </c>
      <c r="H312" s="22">
        <v>20</v>
      </c>
      <c r="I312" s="22"/>
      <c r="J312" s="22"/>
      <c r="K312" s="23"/>
    </row>
    <row r="313" spans="5:11" x14ac:dyDescent="0.3">
      <c r="E313" s="26">
        <v>44545</v>
      </c>
      <c r="F313" s="22" t="s">
        <v>96</v>
      </c>
      <c r="G313" s="21">
        <f>6500*2-2620</f>
        <v>10380</v>
      </c>
      <c r="H313" s="22">
        <v>20</v>
      </c>
      <c r="I313" s="22"/>
      <c r="J313" s="22"/>
      <c r="K313" s="23"/>
    </row>
    <row r="314" spans="5:11" x14ac:dyDescent="0.3">
      <c r="E314" s="26">
        <v>44546</v>
      </c>
      <c r="F314" s="22" t="s">
        <v>99</v>
      </c>
      <c r="G314" s="21">
        <v>7082</v>
      </c>
      <c r="H314" s="22">
        <v>10</v>
      </c>
      <c r="I314" s="22"/>
      <c r="J314" s="22"/>
      <c r="K314" s="23"/>
    </row>
    <row r="315" spans="5:11" x14ac:dyDescent="0.3">
      <c r="E315" s="26">
        <v>44548</v>
      </c>
      <c r="F315" s="22" t="s">
        <v>102</v>
      </c>
      <c r="G315" s="21">
        <v>7770</v>
      </c>
      <c r="H315" s="22">
        <v>5</v>
      </c>
      <c r="I315" s="22"/>
      <c r="J315" s="22"/>
      <c r="K315" s="23"/>
    </row>
    <row r="316" spans="5:11" x14ac:dyDescent="0.3">
      <c r="E316" s="26">
        <v>44550</v>
      </c>
      <c r="F316" s="22" t="s">
        <v>98</v>
      </c>
      <c r="G316" s="21">
        <v>6050</v>
      </c>
      <c r="H316" s="22">
        <v>10</v>
      </c>
      <c r="I316" s="22"/>
      <c r="J316" s="22"/>
      <c r="K316" s="23"/>
    </row>
    <row r="317" spans="5:11" x14ac:dyDescent="0.3">
      <c r="E317" s="26">
        <v>44550</v>
      </c>
      <c r="F317" s="22" t="s">
        <v>112</v>
      </c>
      <c r="G317" s="21">
        <f>2954*2</f>
        <v>5908</v>
      </c>
      <c r="H317" s="22">
        <v>40</v>
      </c>
      <c r="I317" s="22"/>
      <c r="J317" s="22"/>
      <c r="K317" s="23"/>
    </row>
    <row r="318" spans="5:11" x14ac:dyDescent="0.3">
      <c r="E318" s="26">
        <v>44551</v>
      </c>
      <c r="F318" s="22" t="s">
        <v>100</v>
      </c>
      <c r="G318" s="21">
        <v>4932</v>
      </c>
      <c r="H318" s="22">
        <v>5</v>
      </c>
      <c r="I318" s="22"/>
      <c r="J318" s="22"/>
      <c r="K318" s="23"/>
    </row>
    <row r="319" spans="5:11" x14ac:dyDescent="0.3">
      <c r="E319" s="26">
        <v>44551</v>
      </c>
      <c r="F319" s="22" t="s">
        <v>101</v>
      </c>
      <c r="G319" s="21">
        <v>7340</v>
      </c>
      <c r="H319" s="22">
        <v>5</v>
      </c>
      <c r="I319" s="22"/>
      <c r="J319" s="22"/>
      <c r="K319" s="23"/>
    </row>
    <row r="320" spans="5:11" x14ac:dyDescent="0.3">
      <c r="E320" s="26">
        <v>44551</v>
      </c>
      <c r="F320" s="22" t="s">
        <v>112</v>
      </c>
      <c r="G320" s="21">
        <v>2954</v>
      </c>
      <c r="H320" s="22">
        <v>20</v>
      </c>
      <c r="I320" s="22"/>
      <c r="J320" s="22"/>
      <c r="K320" s="23"/>
    </row>
    <row r="321" spans="5:11" x14ac:dyDescent="0.3">
      <c r="E321" s="26">
        <v>44551</v>
      </c>
      <c r="F321" s="22" t="s">
        <v>100</v>
      </c>
      <c r="G321" s="21">
        <v>4932</v>
      </c>
      <c r="H321" s="22">
        <v>5</v>
      </c>
      <c r="I321" s="22"/>
      <c r="J321" s="22"/>
      <c r="K321" s="23"/>
    </row>
    <row r="322" spans="5:11" x14ac:dyDescent="0.3">
      <c r="E322" s="26">
        <v>44552</v>
      </c>
      <c r="F322" s="22" t="s">
        <v>102</v>
      </c>
      <c r="G322" s="21">
        <f>7770*2</f>
        <v>15540</v>
      </c>
      <c r="H322" s="22">
        <v>10</v>
      </c>
      <c r="I322" s="22"/>
      <c r="J322" s="22"/>
      <c r="K322" s="23"/>
    </row>
    <row r="323" spans="5:11" x14ac:dyDescent="0.3">
      <c r="E323" s="26">
        <v>44552</v>
      </c>
      <c r="F323" s="22" t="s">
        <v>100</v>
      </c>
      <c r="G323" s="21">
        <f>4932*2</f>
        <v>9864</v>
      </c>
      <c r="H323" s="22">
        <v>5</v>
      </c>
      <c r="I323" s="22"/>
      <c r="J323" s="22"/>
      <c r="K323" s="23"/>
    </row>
    <row r="324" spans="5:11" x14ac:dyDescent="0.3">
      <c r="E324" s="26">
        <v>44553</v>
      </c>
      <c r="F324" s="22" t="s">
        <v>101</v>
      </c>
      <c r="G324" s="21">
        <f>7340*2</f>
        <v>14680</v>
      </c>
      <c r="H324" s="22">
        <v>10</v>
      </c>
      <c r="I324" s="22"/>
      <c r="J324" s="22"/>
      <c r="K324" s="23"/>
    </row>
    <row r="325" spans="5:11" x14ac:dyDescent="0.3">
      <c r="E325" s="26">
        <v>44553</v>
      </c>
      <c r="F325" s="22" t="s">
        <v>95</v>
      </c>
      <c r="G325" s="21">
        <f>4072*3</f>
        <v>12216</v>
      </c>
      <c r="H325" s="22">
        <v>30</v>
      </c>
      <c r="I325" s="22"/>
      <c r="J325" s="22"/>
      <c r="K325" s="23"/>
    </row>
    <row r="326" spans="5:11" x14ac:dyDescent="0.3">
      <c r="E326" s="26">
        <v>44553</v>
      </c>
      <c r="F326" s="47">
        <v>555</v>
      </c>
      <c r="G326" s="21">
        <v>3040</v>
      </c>
      <c r="H326" s="22">
        <v>10</v>
      </c>
      <c r="I326" s="22"/>
      <c r="J326" s="22"/>
      <c r="K326" s="23"/>
    </row>
    <row r="327" spans="5:11" x14ac:dyDescent="0.3">
      <c r="E327" s="26">
        <v>44553</v>
      </c>
      <c r="F327" s="22" t="s">
        <v>98</v>
      </c>
      <c r="G327" s="21">
        <f>6050*3</f>
        <v>18150</v>
      </c>
      <c r="H327" s="22">
        <v>30</v>
      </c>
      <c r="I327" s="22"/>
      <c r="J327" s="22"/>
      <c r="K327" s="23"/>
    </row>
    <row r="328" spans="5:11" x14ac:dyDescent="0.3">
      <c r="E328" s="26">
        <v>44554</v>
      </c>
      <c r="F328" s="22" t="s">
        <v>101</v>
      </c>
      <c r="G328" s="21">
        <f>7340</f>
        <v>7340</v>
      </c>
      <c r="H328" s="22">
        <v>5</v>
      </c>
      <c r="I328" s="22"/>
      <c r="J328" s="22"/>
      <c r="K328" s="23"/>
    </row>
    <row r="329" spans="5:11" x14ac:dyDescent="0.3">
      <c r="E329" s="26">
        <v>44554</v>
      </c>
      <c r="F329" s="22" t="s">
        <v>101</v>
      </c>
      <c r="G329" s="21">
        <f>7340*2</f>
        <v>14680</v>
      </c>
      <c r="H329" s="22">
        <v>10</v>
      </c>
      <c r="I329" s="22"/>
      <c r="J329" s="22"/>
      <c r="K329" s="23"/>
    </row>
    <row r="330" spans="5:11" x14ac:dyDescent="0.3">
      <c r="E330" s="26">
        <v>44555</v>
      </c>
      <c r="F330" s="22" t="s">
        <v>102</v>
      </c>
      <c r="G330" s="21">
        <v>7770</v>
      </c>
      <c r="H330" s="22">
        <v>5</v>
      </c>
      <c r="I330" s="22"/>
      <c r="J330" s="22"/>
      <c r="K330" s="23"/>
    </row>
    <row r="331" spans="5:11" x14ac:dyDescent="0.3">
      <c r="E331" s="26">
        <v>44555</v>
      </c>
      <c r="F331" s="22" t="s">
        <v>95</v>
      </c>
      <c r="G331" s="21">
        <v>4070</v>
      </c>
      <c r="H331" s="22">
        <v>10</v>
      </c>
      <c r="I331" s="22"/>
      <c r="J331" s="22"/>
      <c r="K331" s="23"/>
    </row>
    <row r="332" spans="5:11" x14ac:dyDescent="0.3">
      <c r="E332" s="26">
        <v>44556</v>
      </c>
      <c r="F332" s="22" t="s">
        <v>95</v>
      </c>
      <c r="G332" s="21">
        <f>4070*2</f>
        <v>8140</v>
      </c>
      <c r="H332" s="22">
        <v>20</v>
      </c>
      <c r="I332" s="22"/>
      <c r="J332" s="22"/>
      <c r="K332" s="23"/>
    </row>
    <row r="333" spans="5:11" x14ac:dyDescent="0.3">
      <c r="E333" s="26">
        <v>44556</v>
      </c>
      <c r="F333" s="22" t="s">
        <v>100</v>
      </c>
      <c r="G333" s="21">
        <f>4932*2</f>
        <v>9864</v>
      </c>
      <c r="H333" s="22">
        <v>5</v>
      </c>
      <c r="I333" s="22"/>
      <c r="J333" s="22"/>
      <c r="K333" s="23"/>
    </row>
    <row r="334" spans="5:11" x14ac:dyDescent="0.3">
      <c r="E334" s="26">
        <v>44557</v>
      </c>
      <c r="F334" s="22" t="s">
        <v>112</v>
      </c>
      <c r="G334" s="21">
        <f>2954*4</f>
        <v>11816</v>
      </c>
      <c r="H334" s="22">
        <v>80</v>
      </c>
      <c r="I334" s="22"/>
      <c r="J334" s="22"/>
      <c r="K334" s="23"/>
    </row>
    <row r="335" spans="5:11" x14ac:dyDescent="0.3">
      <c r="E335" s="26">
        <v>44557</v>
      </c>
      <c r="F335" s="22" t="s">
        <v>113</v>
      </c>
      <c r="G335" s="21">
        <v>3728</v>
      </c>
      <c r="H335" s="22">
        <v>20</v>
      </c>
      <c r="I335" s="22"/>
      <c r="J335" s="22"/>
      <c r="K335" s="23"/>
    </row>
    <row r="336" spans="5:11" x14ac:dyDescent="0.3">
      <c r="E336" s="26">
        <v>44559</v>
      </c>
      <c r="F336" s="22" t="s">
        <v>98</v>
      </c>
      <c r="G336" s="21">
        <v>6050</v>
      </c>
      <c r="H336" s="22">
        <v>10</v>
      </c>
      <c r="I336" s="22"/>
      <c r="J336" s="22"/>
      <c r="K336" s="23"/>
    </row>
    <row r="337" spans="5:11" x14ac:dyDescent="0.3">
      <c r="E337" s="26">
        <v>44559</v>
      </c>
      <c r="F337" s="22" t="s">
        <v>94</v>
      </c>
      <c r="G337" s="21">
        <v>3298</v>
      </c>
      <c r="H337" s="22">
        <v>10</v>
      </c>
      <c r="I337" s="22"/>
      <c r="J337" s="22"/>
      <c r="K337" s="23"/>
    </row>
    <row r="338" spans="5:11" x14ac:dyDescent="0.3">
      <c r="E338" s="26">
        <v>44560</v>
      </c>
      <c r="F338" s="22" t="s">
        <v>100</v>
      </c>
      <c r="G338" s="21">
        <v>4932</v>
      </c>
      <c r="H338" s="22">
        <v>5</v>
      </c>
      <c r="I338" s="22"/>
      <c r="J338" s="22"/>
      <c r="K338" s="23"/>
    </row>
    <row r="339" spans="5:11" x14ac:dyDescent="0.3">
      <c r="E339" s="26">
        <v>44561</v>
      </c>
      <c r="F339" s="22" t="s">
        <v>98</v>
      </c>
      <c r="G339" s="21">
        <f>6050*4</f>
        <v>24200</v>
      </c>
      <c r="H339" s="22">
        <v>40</v>
      </c>
      <c r="I339" s="22"/>
      <c r="J339" s="22"/>
      <c r="K339" s="23"/>
    </row>
    <row r="340" spans="5:11" x14ac:dyDescent="0.3">
      <c r="E340" s="26">
        <v>44561</v>
      </c>
      <c r="F340" s="22" t="s">
        <v>112</v>
      </c>
      <c r="G340" s="21">
        <v>2954</v>
      </c>
      <c r="H340" s="22">
        <v>20</v>
      </c>
      <c r="I340" s="22"/>
      <c r="J340" s="22"/>
      <c r="K340" s="23"/>
    </row>
    <row r="341" spans="5:11" x14ac:dyDescent="0.3">
      <c r="E341" s="26">
        <v>44562</v>
      </c>
      <c r="F341" s="22">
        <v>555</v>
      </c>
      <c r="G341" s="21">
        <v>3040</v>
      </c>
      <c r="H341" s="22">
        <v>10</v>
      </c>
      <c r="I341" s="22"/>
      <c r="J341" s="22"/>
      <c r="K341" s="23"/>
    </row>
    <row r="342" spans="5:11" x14ac:dyDescent="0.3">
      <c r="E342" s="26">
        <v>44563</v>
      </c>
      <c r="F342" s="22" t="s">
        <v>112</v>
      </c>
      <c r="G342" s="21">
        <v>2954</v>
      </c>
      <c r="H342" s="22">
        <v>20</v>
      </c>
      <c r="I342" s="22"/>
      <c r="J342" s="22"/>
      <c r="K342" s="23"/>
    </row>
    <row r="343" spans="5:11" x14ac:dyDescent="0.3">
      <c r="E343" s="26">
        <v>44563</v>
      </c>
      <c r="F343" s="22" t="s">
        <v>102</v>
      </c>
      <c r="G343" s="21">
        <v>7770</v>
      </c>
      <c r="H343" s="22">
        <v>5</v>
      </c>
      <c r="I343" s="22"/>
      <c r="J343" s="22"/>
      <c r="K343" s="23"/>
    </row>
    <row r="344" spans="5:11" x14ac:dyDescent="0.3">
      <c r="E344" s="26">
        <v>44563</v>
      </c>
      <c r="F344" s="22" t="s">
        <v>101</v>
      </c>
      <c r="G344" s="21">
        <v>7340</v>
      </c>
      <c r="H344" s="22">
        <v>5</v>
      </c>
      <c r="I344" s="22"/>
      <c r="J344" s="22"/>
      <c r="K344" s="23"/>
    </row>
    <row r="345" spans="5:11" x14ac:dyDescent="0.3">
      <c r="E345" s="26">
        <v>44563</v>
      </c>
      <c r="F345" s="22" t="s">
        <v>100</v>
      </c>
      <c r="G345" s="21">
        <v>4932</v>
      </c>
      <c r="H345" s="22">
        <v>5</v>
      </c>
      <c r="I345" s="22"/>
      <c r="J345" s="22"/>
      <c r="K345" s="23"/>
    </row>
    <row r="346" spans="5:11" x14ac:dyDescent="0.3">
      <c r="E346" s="26">
        <v>44563</v>
      </c>
      <c r="F346" s="22" t="s">
        <v>98</v>
      </c>
      <c r="G346" s="21">
        <v>6050</v>
      </c>
      <c r="H346" s="22">
        <v>10</v>
      </c>
      <c r="I346" s="22"/>
      <c r="J346" s="22"/>
      <c r="K346" s="23"/>
    </row>
    <row r="347" spans="5:11" x14ac:dyDescent="0.3">
      <c r="E347" s="26"/>
      <c r="F347" s="22"/>
      <c r="G347" s="21"/>
      <c r="H347" s="22"/>
      <c r="I347" s="22"/>
      <c r="J347" s="22"/>
      <c r="K347" s="23"/>
    </row>
    <row r="348" spans="5:11" x14ac:dyDescent="0.3">
      <c r="E348" s="26"/>
      <c r="F348" s="22"/>
      <c r="G348" s="21"/>
      <c r="H348" s="22"/>
      <c r="I348" s="22"/>
      <c r="J348" s="22"/>
      <c r="K348" s="23"/>
    </row>
    <row r="349" spans="5:11" x14ac:dyDescent="0.3">
      <c r="E349" s="26"/>
      <c r="F349" s="22"/>
      <c r="G349" s="21"/>
      <c r="H349" s="22"/>
      <c r="I349" s="22"/>
      <c r="J349" s="22"/>
      <c r="K349" s="23"/>
    </row>
    <row r="350" spans="5:11" x14ac:dyDescent="0.3">
      <c r="E350" s="26"/>
      <c r="F350" s="22"/>
      <c r="G350" s="21"/>
      <c r="H350" s="22"/>
      <c r="I350" s="22"/>
      <c r="J350" s="22"/>
      <c r="K350" s="23"/>
    </row>
    <row r="351" spans="5:11" x14ac:dyDescent="0.3">
      <c r="E351" s="26"/>
      <c r="F351" s="22"/>
      <c r="G351" s="21"/>
      <c r="H351" s="22"/>
      <c r="I351" s="22"/>
      <c r="J351" s="22"/>
      <c r="K351" s="23"/>
    </row>
    <row r="352" spans="5:11" x14ac:dyDescent="0.3">
      <c r="E352" s="26"/>
      <c r="F352" s="22"/>
      <c r="G352" s="21"/>
      <c r="H352" s="22"/>
      <c r="I352" s="22"/>
      <c r="J352" s="22"/>
      <c r="K352" s="23"/>
    </row>
  </sheetData>
  <autoFilter ref="A1:Q326" xr:uid="{00000000-0001-0000-01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30"/>
  <sheetViews>
    <sheetView topLeftCell="A4" workbookViewId="0">
      <selection activeCell="L11" sqref="L11"/>
    </sheetView>
  </sheetViews>
  <sheetFormatPr baseColWidth="10" defaultRowHeight="14.4" x14ac:dyDescent="0.3"/>
  <cols>
    <col min="3" max="3" width="12" bestFit="1" customWidth="1"/>
  </cols>
  <sheetData>
    <row r="2" spans="2:12" x14ac:dyDescent="0.3">
      <c r="B2">
        <v>240</v>
      </c>
      <c r="C2" s="7">
        <v>12280</v>
      </c>
      <c r="D2">
        <f>B2*D3</f>
        <v>55680</v>
      </c>
      <c r="E2">
        <f>D3*E3</f>
        <v>4640</v>
      </c>
      <c r="F2" s="6">
        <f>D2-C2</f>
        <v>43400</v>
      </c>
      <c r="G2" s="3">
        <f>F2/C2</f>
        <v>3.5342019543973939</v>
      </c>
    </row>
    <row r="3" spans="2:12" x14ac:dyDescent="0.3">
      <c r="C3">
        <f>C2/B2</f>
        <v>51.166666666666664</v>
      </c>
      <c r="D3">
        <v>232</v>
      </c>
      <c r="E3">
        <v>20</v>
      </c>
      <c r="G3" s="3"/>
    </row>
    <row r="5" spans="2:12" x14ac:dyDescent="0.3">
      <c r="B5" t="s">
        <v>86</v>
      </c>
      <c r="C5">
        <v>16854</v>
      </c>
    </row>
    <row r="6" spans="2:12" x14ac:dyDescent="0.3">
      <c r="B6">
        <v>50</v>
      </c>
      <c r="C6">
        <f>C5/B6</f>
        <v>337.08</v>
      </c>
    </row>
    <row r="9" spans="2:12" x14ac:dyDescent="0.3">
      <c r="B9" t="s">
        <v>116</v>
      </c>
      <c r="C9">
        <v>5</v>
      </c>
      <c r="D9">
        <v>2800</v>
      </c>
      <c r="E9">
        <f>D9-($E$19*D9+$E$20)</f>
        <v>2008</v>
      </c>
      <c r="F9">
        <f>E9/C9</f>
        <v>401.6</v>
      </c>
      <c r="G9">
        <v>8017</v>
      </c>
      <c r="H9">
        <v>100</v>
      </c>
      <c r="I9">
        <f>H9*F9</f>
        <v>40160</v>
      </c>
      <c r="J9">
        <f>I9-G9</f>
        <v>32143</v>
      </c>
      <c r="K9" s="9">
        <f>G9/H9</f>
        <v>80.17</v>
      </c>
      <c r="L9" s="3">
        <f>J9/G9</f>
        <v>4.0093551203692153</v>
      </c>
    </row>
    <row r="10" spans="2:12" x14ac:dyDescent="0.3">
      <c r="B10" t="s">
        <v>117</v>
      </c>
      <c r="C10">
        <v>5</v>
      </c>
      <c r="D10">
        <v>2800</v>
      </c>
      <c r="E10">
        <f t="shared" ref="E10:E18" si="0">D10-($E$19*D10+$E$20)</f>
        <v>2008</v>
      </c>
      <c r="F10">
        <f t="shared" ref="F10:F18" si="1">E10/C10</f>
        <v>401.6</v>
      </c>
      <c r="G10">
        <v>9512</v>
      </c>
      <c r="H10">
        <v>100</v>
      </c>
      <c r="I10">
        <f t="shared" ref="I10:I17" si="2">H10*F10</f>
        <v>40160</v>
      </c>
      <c r="J10">
        <f t="shared" ref="J10:J18" si="3">I10-G10</f>
        <v>30648</v>
      </c>
      <c r="K10" s="9">
        <f t="shared" ref="K10:K18" si="4">G10/H10</f>
        <v>95.12</v>
      </c>
      <c r="L10" s="3">
        <f t="shared" ref="L10:L17" si="5">J10/G10</f>
        <v>3.222035323801514</v>
      </c>
    </row>
    <row r="11" spans="2:12" x14ac:dyDescent="0.3">
      <c r="B11" t="s">
        <v>118</v>
      </c>
      <c r="C11">
        <v>5</v>
      </c>
      <c r="D11">
        <v>2800</v>
      </c>
      <c r="E11">
        <f t="shared" si="0"/>
        <v>2008</v>
      </c>
      <c r="F11">
        <f t="shared" si="1"/>
        <v>401.6</v>
      </c>
      <c r="G11">
        <v>3596</v>
      </c>
      <c r="H11">
        <v>50</v>
      </c>
      <c r="I11">
        <f t="shared" si="2"/>
        <v>20080</v>
      </c>
      <c r="J11">
        <f t="shared" si="3"/>
        <v>16484</v>
      </c>
      <c r="K11" s="9">
        <f t="shared" si="4"/>
        <v>71.92</v>
      </c>
      <c r="L11" s="3">
        <f t="shared" si="5"/>
        <v>4.5839822024471637</v>
      </c>
    </row>
    <row r="12" spans="2:12" x14ac:dyDescent="0.3">
      <c r="B12" t="s">
        <v>119</v>
      </c>
      <c r="C12">
        <v>5</v>
      </c>
      <c r="D12">
        <v>2800</v>
      </c>
      <c r="E12">
        <f t="shared" si="0"/>
        <v>2008</v>
      </c>
      <c r="F12">
        <f t="shared" si="1"/>
        <v>401.6</v>
      </c>
      <c r="G12">
        <v>8211</v>
      </c>
      <c r="H12">
        <v>100</v>
      </c>
      <c r="I12">
        <f t="shared" si="2"/>
        <v>40160</v>
      </c>
      <c r="J12">
        <f t="shared" si="3"/>
        <v>31949</v>
      </c>
      <c r="K12" s="9">
        <f t="shared" si="4"/>
        <v>82.11</v>
      </c>
      <c r="L12" s="3">
        <f t="shared" si="5"/>
        <v>3.8909998782121544</v>
      </c>
    </row>
    <row r="13" spans="2:12" x14ac:dyDescent="0.3">
      <c r="B13" t="s">
        <v>120</v>
      </c>
      <c r="C13">
        <v>5</v>
      </c>
      <c r="D13">
        <v>2800</v>
      </c>
      <c r="E13">
        <f t="shared" si="0"/>
        <v>2008</v>
      </c>
      <c r="F13">
        <f t="shared" si="1"/>
        <v>401.6</v>
      </c>
      <c r="H13">
        <v>100</v>
      </c>
      <c r="J13">
        <f t="shared" si="3"/>
        <v>0</v>
      </c>
      <c r="K13" s="9">
        <f t="shared" si="4"/>
        <v>0</v>
      </c>
      <c r="L13" s="3"/>
    </row>
    <row r="14" spans="2:12" x14ac:dyDescent="0.3">
      <c r="B14" t="s">
        <v>121</v>
      </c>
      <c r="C14">
        <v>5</v>
      </c>
      <c r="D14">
        <v>2800</v>
      </c>
      <c r="E14">
        <f t="shared" si="0"/>
        <v>2008</v>
      </c>
      <c r="F14">
        <f t="shared" si="1"/>
        <v>401.6</v>
      </c>
      <c r="H14">
        <v>100</v>
      </c>
      <c r="J14">
        <f t="shared" si="3"/>
        <v>0</v>
      </c>
      <c r="K14" s="9">
        <f t="shared" si="4"/>
        <v>0</v>
      </c>
      <c r="L14" s="3"/>
    </row>
    <row r="15" spans="2:12" x14ac:dyDescent="0.3">
      <c r="B15" t="s">
        <v>122</v>
      </c>
      <c r="C15">
        <v>20</v>
      </c>
      <c r="D15">
        <v>2300</v>
      </c>
      <c r="E15">
        <f t="shared" si="0"/>
        <v>1578</v>
      </c>
      <c r="F15">
        <f t="shared" si="1"/>
        <v>78.900000000000006</v>
      </c>
      <c r="G15">
        <v>4024</v>
      </c>
      <c r="H15">
        <v>300</v>
      </c>
      <c r="I15">
        <f t="shared" si="2"/>
        <v>23670</v>
      </c>
      <c r="J15">
        <f t="shared" si="3"/>
        <v>19646</v>
      </c>
      <c r="K15" s="9">
        <f t="shared" si="4"/>
        <v>13.413333333333334</v>
      </c>
      <c r="L15" s="3">
        <f t="shared" si="5"/>
        <v>4.8822067594433403</v>
      </c>
    </row>
    <row r="16" spans="2:12" x14ac:dyDescent="0.3">
      <c r="B16">
        <v>555</v>
      </c>
      <c r="C16">
        <v>10</v>
      </c>
      <c r="D16">
        <v>4000</v>
      </c>
      <c r="E16">
        <f t="shared" si="0"/>
        <v>3040</v>
      </c>
      <c r="F16">
        <f t="shared" si="1"/>
        <v>304</v>
      </c>
      <c r="G16">
        <v>4485</v>
      </c>
      <c r="H16">
        <v>100</v>
      </c>
      <c r="I16">
        <f t="shared" si="2"/>
        <v>30400</v>
      </c>
      <c r="J16">
        <f t="shared" si="3"/>
        <v>25915</v>
      </c>
      <c r="K16" s="9">
        <f t="shared" si="4"/>
        <v>44.85</v>
      </c>
      <c r="L16" s="3">
        <f t="shared" si="5"/>
        <v>5.7781493868450386</v>
      </c>
    </row>
    <row r="17" spans="2:13" x14ac:dyDescent="0.3">
      <c r="B17" t="s">
        <v>123</v>
      </c>
      <c r="C17">
        <v>3</v>
      </c>
      <c r="D17">
        <v>5000</v>
      </c>
      <c r="E17">
        <f t="shared" si="0"/>
        <v>3900</v>
      </c>
      <c r="F17">
        <f t="shared" si="1"/>
        <v>1300</v>
      </c>
      <c r="G17">
        <v>10999</v>
      </c>
      <c r="H17">
        <v>50</v>
      </c>
      <c r="I17">
        <f t="shared" si="2"/>
        <v>65000</v>
      </c>
      <c r="J17">
        <f t="shared" si="3"/>
        <v>54001</v>
      </c>
      <c r="K17" s="9">
        <f t="shared" si="4"/>
        <v>219.98</v>
      </c>
      <c r="L17" s="3">
        <f t="shared" si="5"/>
        <v>4.9096281480134554</v>
      </c>
    </row>
    <row r="18" spans="2:13" x14ac:dyDescent="0.3">
      <c r="B18" t="s">
        <v>124</v>
      </c>
      <c r="C18">
        <v>5</v>
      </c>
      <c r="D18">
        <v>2490</v>
      </c>
      <c r="E18">
        <f t="shared" si="0"/>
        <v>1741.4</v>
      </c>
      <c r="F18">
        <f t="shared" si="1"/>
        <v>348.28000000000003</v>
      </c>
      <c r="H18">
        <v>100</v>
      </c>
      <c r="J18">
        <f t="shared" si="3"/>
        <v>0</v>
      </c>
      <c r="K18" s="9">
        <f t="shared" si="4"/>
        <v>0</v>
      </c>
      <c r="L18" s="3"/>
    </row>
    <row r="19" spans="2:13" x14ac:dyDescent="0.3">
      <c r="E19">
        <v>0.14000000000000001</v>
      </c>
    </row>
    <row r="20" spans="2:13" x14ac:dyDescent="0.3">
      <c r="E20">
        <v>400</v>
      </c>
      <c r="G20" t="s">
        <v>36</v>
      </c>
    </row>
    <row r="21" spans="2:13" x14ac:dyDescent="0.3">
      <c r="G21">
        <f>SUM(G9:G18)</f>
        <v>48844</v>
      </c>
      <c r="I21">
        <f>SUM(I9:I18)</f>
        <v>259630</v>
      </c>
    </row>
    <row r="22" spans="2:13" x14ac:dyDescent="0.3">
      <c r="H22" t="s">
        <v>0</v>
      </c>
    </row>
    <row r="23" spans="2:13" x14ac:dyDescent="0.3">
      <c r="H23">
        <f>SUM(J9:J19)</f>
        <v>210786</v>
      </c>
    </row>
    <row r="24" spans="2:13" x14ac:dyDescent="0.3">
      <c r="L24" s="47" t="s">
        <v>116</v>
      </c>
      <c r="M24" s="48">
        <v>80.17</v>
      </c>
    </row>
    <row r="25" spans="2:13" x14ac:dyDescent="0.3">
      <c r="L25" s="47" t="s">
        <v>117</v>
      </c>
      <c r="M25" s="48">
        <v>95.12</v>
      </c>
    </row>
    <row r="26" spans="2:13" x14ac:dyDescent="0.3">
      <c r="L26" s="47" t="s">
        <v>118</v>
      </c>
      <c r="M26" s="48">
        <v>71.92</v>
      </c>
    </row>
    <row r="27" spans="2:13" x14ac:dyDescent="0.3">
      <c r="L27" s="47" t="s">
        <v>119</v>
      </c>
      <c r="M27" s="48">
        <v>82.11</v>
      </c>
    </row>
    <row r="28" spans="2:13" x14ac:dyDescent="0.3">
      <c r="L28" s="47" t="s">
        <v>122</v>
      </c>
      <c r="M28" s="48">
        <v>13.413333333333334</v>
      </c>
    </row>
    <row r="29" spans="2:13" x14ac:dyDescent="0.3">
      <c r="L29" s="47">
        <v>555</v>
      </c>
      <c r="M29" s="48">
        <v>44.85</v>
      </c>
    </row>
    <row r="30" spans="2:13" x14ac:dyDescent="0.3">
      <c r="L30" s="47" t="s">
        <v>123</v>
      </c>
      <c r="M30" s="48">
        <v>219.98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K34"/>
  <sheetViews>
    <sheetView topLeftCell="A16" workbookViewId="0">
      <selection activeCell="F28" sqref="F28"/>
    </sheetView>
  </sheetViews>
  <sheetFormatPr baseColWidth="10" defaultRowHeight="14.4" x14ac:dyDescent="0.3"/>
  <cols>
    <col min="4" max="4" width="14.33203125" bestFit="1" customWidth="1"/>
    <col min="5" max="5" width="12" bestFit="1" customWidth="1"/>
    <col min="6" max="6" width="13" bestFit="1" customWidth="1"/>
    <col min="8" max="8" width="19.5546875" bestFit="1" customWidth="1"/>
    <col min="9" max="9" width="14.5546875" bestFit="1" customWidth="1"/>
  </cols>
  <sheetData>
    <row r="2" spans="4:9" x14ac:dyDescent="0.3">
      <c r="D2" t="s">
        <v>36</v>
      </c>
      <c r="E2" s="6" t="e">
        <f>SUM(#REF!)</f>
        <v>#REF!</v>
      </c>
      <c r="H2" t="s">
        <v>44</v>
      </c>
      <c r="I2" s="7">
        <v>2080000</v>
      </c>
    </row>
    <row r="3" spans="4:9" x14ac:dyDescent="0.3">
      <c r="H3" t="s">
        <v>45</v>
      </c>
      <c r="I3" s="7">
        <v>1770000</v>
      </c>
    </row>
    <row r="4" spans="4:9" x14ac:dyDescent="0.3">
      <c r="E4" s="55" t="s">
        <v>43</v>
      </c>
      <c r="F4" s="55"/>
    </row>
    <row r="5" spans="4:9" x14ac:dyDescent="0.3">
      <c r="E5" t="s">
        <v>37</v>
      </c>
      <c r="F5" s="7">
        <v>22000</v>
      </c>
    </row>
    <row r="6" spans="4:9" x14ac:dyDescent="0.3">
      <c r="E6" t="s">
        <v>38</v>
      </c>
      <c r="F6" s="7">
        <v>37000</v>
      </c>
      <c r="H6" t="s">
        <v>46</v>
      </c>
      <c r="I6" s="6">
        <v>6000000</v>
      </c>
    </row>
    <row r="7" spans="4:9" x14ac:dyDescent="0.3">
      <c r="E7" t="s">
        <v>39</v>
      </c>
      <c r="F7" s="7">
        <v>20000</v>
      </c>
      <c r="H7" t="s">
        <v>47</v>
      </c>
      <c r="I7">
        <f>I6/F12</f>
        <v>12.269938650306749</v>
      </c>
    </row>
    <row r="8" spans="4:9" x14ac:dyDescent="0.3">
      <c r="E8" t="s">
        <v>40</v>
      </c>
      <c r="F8" s="7">
        <v>150000</v>
      </c>
    </row>
    <row r="9" spans="4:9" x14ac:dyDescent="0.3">
      <c r="E9" t="s">
        <v>41</v>
      </c>
      <c r="F9" s="7">
        <v>60000</v>
      </c>
    </row>
    <row r="10" spans="4:9" x14ac:dyDescent="0.3">
      <c r="E10" t="s">
        <v>42</v>
      </c>
      <c r="F10" s="7">
        <v>150000</v>
      </c>
    </row>
    <row r="11" spans="4:9" x14ac:dyDescent="0.3">
      <c r="E11" t="s">
        <v>48</v>
      </c>
      <c r="F11" s="7">
        <v>50000</v>
      </c>
    </row>
    <row r="12" spans="4:9" x14ac:dyDescent="0.3">
      <c r="E12" s="13" t="s">
        <v>36</v>
      </c>
      <c r="F12" s="14">
        <f>SUM(F5:F11)</f>
        <v>489000</v>
      </c>
    </row>
    <row r="18" spans="4:11" x14ac:dyDescent="0.3">
      <c r="H18">
        <v>3</v>
      </c>
      <c r="I18">
        <v>20</v>
      </c>
      <c r="J18">
        <v>15</v>
      </c>
    </row>
    <row r="19" spans="4:11" x14ac:dyDescent="0.3">
      <c r="D19" t="s">
        <v>107</v>
      </c>
      <c r="E19">
        <v>14416</v>
      </c>
      <c r="F19">
        <v>300</v>
      </c>
      <c r="G19" s="36">
        <v>44</v>
      </c>
      <c r="H19" s="9">
        <f>G19*H18</f>
        <v>132</v>
      </c>
      <c r="I19">
        <v>2954</v>
      </c>
      <c r="J19">
        <f>I19*J18</f>
        <v>44310</v>
      </c>
      <c r="K19">
        <f>J19/E19</f>
        <v>3.0736681465038846</v>
      </c>
    </row>
    <row r="20" spans="4:11" x14ac:dyDescent="0.3">
      <c r="D20" t="s">
        <v>108</v>
      </c>
      <c r="E20">
        <v>13994</v>
      </c>
      <c r="F20">
        <v>200</v>
      </c>
      <c r="G20" s="36">
        <f>E20/F20</f>
        <v>69.97</v>
      </c>
      <c r="H20" s="9">
        <f>G20*H18</f>
        <v>209.91</v>
      </c>
      <c r="I20">
        <f>5350-1149</f>
        <v>4201</v>
      </c>
      <c r="J20">
        <f>I20*J21</f>
        <v>42010</v>
      </c>
      <c r="K20">
        <f>J20/E20</f>
        <v>3.0020008575103616</v>
      </c>
    </row>
    <row r="21" spans="4:11" x14ac:dyDescent="0.3">
      <c r="J21">
        <v>10</v>
      </c>
    </row>
    <row r="22" spans="4:11" x14ac:dyDescent="0.3">
      <c r="I22">
        <f>H19*I18</f>
        <v>2640</v>
      </c>
    </row>
    <row r="23" spans="4:11" x14ac:dyDescent="0.3">
      <c r="I23">
        <f>H20*I18</f>
        <v>4198.2</v>
      </c>
    </row>
    <row r="26" spans="4:11" x14ac:dyDescent="0.3">
      <c r="D26">
        <v>22374</v>
      </c>
      <c r="I26">
        <f>I19/I18</f>
        <v>147.69999999999999</v>
      </c>
    </row>
    <row r="27" spans="4:11" x14ac:dyDescent="0.3">
      <c r="D27">
        <v>500</v>
      </c>
      <c r="E27">
        <f>D27/20</f>
        <v>25</v>
      </c>
      <c r="F27">
        <f>E27*I19</f>
        <v>73850</v>
      </c>
      <c r="I27">
        <f>I20/I18</f>
        <v>210.05</v>
      </c>
    </row>
    <row r="28" spans="4:11" x14ac:dyDescent="0.3">
      <c r="D28">
        <v>45</v>
      </c>
    </row>
    <row r="30" spans="4:11" x14ac:dyDescent="0.3">
      <c r="H30">
        <v>3900</v>
      </c>
      <c r="I30">
        <f>H30/I18</f>
        <v>195</v>
      </c>
    </row>
    <row r="31" spans="4:11" x14ac:dyDescent="0.3">
      <c r="H31">
        <v>5350</v>
      </c>
      <c r="I31">
        <f>H31/I18</f>
        <v>267.5</v>
      </c>
    </row>
    <row r="33" spans="8:8" x14ac:dyDescent="0.3">
      <c r="H33">
        <f>H30-H30*0.14-400</f>
        <v>2954</v>
      </c>
    </row>
    <row r="34" spans="8:8" x14ac:dyDescent="0.3">
      <c r="H34">
        <f>H31-H31*0.14-400</f>
        <v>4201</v>
      </c>
    </row>
  </sheetData>
  <mergeCells count="1">
    <mergeCell ref="E4:F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17"/>
  <sheetViews>
    <sheetView workbookViewId="0">
      <selection activeCell="C35" sqref="C35"/>
    </sheetView>
  </sheetViews>
  <sheetFormatPr baseColWidth="10" defaultRowHeight="14.4" x14ac:dyDescent="0.3"/>
  <cols>
    <col min="2" max="2" width="11.44140625" style="1"/>
    <col min="3" max="3" width="8.5546875" customWidth="1"/>
    <col min="5" max="5" width="13" bestFit="1" customWidth="1"/>
  </cols>
  <sheetData>
    <row r="1" spans="2:16" x14ac:dyDescent="0.3">
      <c r="E1" t="s">
        <v>57</v>
      </c>
      <c r="F1" t="s">
        <v>58</v>
      </c>
      <c r="G1" t="s">
        <v>59</v>
      </c>
      <c r="I1" t="s">
        <v>60</v>
      </c>
      <c r="L1" t="s">
        <v>62</v>
      </c>
    </row>
    <row r="2" spans="2:16" x14ac:dyDescent="0.3">
      <c r="B2" s="1" t="s">
        <v>3</v>
      </c>
      <c r="C2">
        <v>7813</v>
      </c>
      <c r="D2">
        <v>1554</v>
      </c>
      <c r="E2" s="7">
        <f>C2+D2</f>
        <v>9367</v>
      </c>
      <c r="F2">
        <v>50</v>
      </c>
      <c r="G2" s="7">
        <f>E2/F2</f>
        <v>187.34</v>
      </c>
      <c r="H2" s="7">
        <f>G2*L2</f>
        <v>936.7</v>
      </c>
      <c r="I2" s="6">
        <f>G2*$G$11</f>
        <v>562.02</v>
      </c>
      <c r="J2">
        <v>650</v>
      </c>
      <c r="K2">
        <f>J2*F2</f>
        <v>32500</v>
      </c>
      <c r="L2">
        <v>5</v>
      </c>
      <c r="M2">
        <f>L2*J2</f>
        <v>3250</v>
      </c>
      <c r="N2" s="7">
        <v>3255</v>
      </c>
      <c r="O2">
        <v>10</v>
      </c>
      <c r="P2" s="6">
        <f>N2*O2</f>
        <v>32550</v>
      </c>
    </row>
    <row r="3" spans="2:16" x14ac:dyDescent="0.3">
      <c r="B3" s="1" t="s">
        <v>2</v>
      </c>
      <c r="C3">
        <v>7269</v>
      </c>
      <c r="D3">
        <v>1554</v>
      </c>
      <c r="E3" s="7">
        <f t="shared" ref="E3:E8" si="0">C3+D3</f>
        <v>8823</v>
      </c>
      <c r="F3">
        <v>30</v>
      </c>
      <c r="G3" s="7">
        <f t="shared" ref="G3:G8" si="1">E3/F3</f>
        <v>294.10000000000002</v>
      </c>
      <c r="H3" s="7">
        <f t="shared" ref="H3:H8" si="2">G3*L3</f>
        <v>1470.5</v>
      </c>
      <c r="I3" s="6">
        <f t="shared" ref="I3:I8" si="3">G3*$G$11</f>
        <v>882.30000000000007</v>
      </c>
      <c r="J3">
        <v>750</v>
      </c>
      <c r="K3">
        <f t="shared" ref="K3:K8" si="4">J3*F3</f>
        <v>22500</v>
      </c>
      <c r="L3">
        <v>5</v>
      </c>
      <c r="M3">
        <f t="shared" ref="M3:M8" si="5">L3*J3</f>
        <v>3750</v>
      </c>
      <c r="N3" s="7">
        <v>3771</v>
      </c>
      <c r="O3">
        <v>6</v>
      </c>
      <c r="P3" s="6">
        <f t="shared" ref="P3:P8" si="6">N3*O3</f>
        <v>22626</v>
      </c>
    </row>
    <row r="4" spans="2:16" x14ac:dyDescent="0.3">
      <c r="B4" s="1" t="s">
        <v>51</v>
      </c>
      <c r="C4">
        <v>9246</v>
      </c>
      <c r="D4">
        <v>1906</v>
      </c>
      <c r="E4" s="7">
        <f t="shared" si="0"/>
        <v>11152</v>
      </c>
      <c r="F4">
        <v>25</v>
      </c>
      <c r="G4" s="7">
        <f t="shared" si="1"/>
        <v>446.08</v>
      </c>
      <c r="H4" s="7">
        <f t="shared" si="2"/>
        <v>2230.4</v>
      </c>
      <c r="I4" s="6">
        <f t="shared" si="3"/>
        <v>1338.24</v>
      </c>
      <c r="J4">
        <v>1200</v>
      </c>
      <c r="K4">
        <f t="shared" si="4"/>
        <v>30000</v>
      </c>
      <c r="L4">
        <v>5</v>
      </c>
      <c r="M4">
        <f t="shared" si="5"/>
        <v>6000</v>
      </c>
      <c r="N4" s="7">
        <v>6050</v>
      </c>
      <c r="O4">
        <v>4</v>
      </c>
      <c r="P4" s="6">
        <f t="shared" si="6"/>
        <v>24200</v>
      </c>
    </row>
    <row r="5" spans="2:16" x14ac:dyDescent="0.3">
      <c r="B5" s="1" t="s">
        <v>52</v>
      </c>
      <c r="C5">
        <v>16361</v>
      </c>
      <c r="D5">
        <v>1906</v>
      </c>
      <c r="E5" s="7">
        <f t="shared" si="0"/>
        <v>18267</v>
      </c>
      <c r="F5">
        <v>25</v>
      </c>
      <c r="G5" s="7">
        <f t="shared" si="1"/>
        <v>730.68</v>
      </c>
      <c r="H5" s="7">
        <f t="shared" si="2"/>
        <v>3653.3999999999996</v>
      </c>
      <c r="I5" s="6">
        <f t="shared" si="3"/>
        <v>2192.04</v>
      </c>
      <c r="J5">
        <v>1800</v>
      </c>
      <c r="K5">
        <f t="shared" si="4"/>
        <v>45000</v>
      </c>
      <c r="L5">
        <v>5</v>
      </c>
      <c r="M5">
        <f t="shared" si="5"/>
        <v>9000</v>
      </c>
      <c r="N5" s="7">
        <v>9060</v>
      </c>
      <c r="O5">
        <v>4</v>
      </c>
      <c r="P5" s="6">
        <f t="shared" si="6"/>
        <v>36240</v>
      </c>
    </row>
    <row r="6" spans="2:16" x14ac:dyDescent="0.3">
      <c r="B6" s="1" t="s">
        <v>53</v>
      </c>
      <c r="C6">
        <v>11637</v>
      </c>
      <c r="D6">
        <v>0</v>
      </c>
      <c r="E6" s="7">
        <f t="shared" si="0"/>
        <v>11637</v>
      </c>
      <c r="F6">
        <v>20</v>
      </c>
      <c r="G6" s="7">
        <f t="shared" si="1"/>
        <v>581.85</v>
      </c>
      <c r="H6" s="7">
        <f t="shared" si="2"/>
        <v>2909.25</v>
      </c>
      <c r="I6" s="6">
        <f t="shared" si="3"/>
        <v>1745.5500000000002</v>
      </c>
      <c r="J6">
        <v>1800</v>
      </c>
      <c r="K6">
        <f t="shared" si="4"/>
        <v>36000</v>
      </c>
      <c r="L6">
        <v>5</v>
      </c>
      <c r="M6">
        <f t="shared" si="5"/>
        <v>9000</v>
      </c>
      <c r="N6" s="7">
        <v>9060</v>
      </c>
      <c r="O6">
        <v>4</v>
      </c>
      <c r="P6" s="6">
        <f t="shared" si="6"/>
        <v>36240</v>
      </c>
    </row>
    <row r="7" spans="2:16" x14ac:dyDescent="0.3">
      <c r="B7" s="1" t="s">
        <v>55</v>
      </c>
      <c r="C7">
        <v>19103</v>
      </c>
      <c r="D7">
        <f>3838/2</f>
        <v>1919</v>
      </c>
      <c r="E7" s="7">
        <f t="shared" si="0"/>
        <v>21022</v>
      </c>
      <c r="F7">
        <v>100</v>
      </c>
      <c r="G7" s="7">
        <f t="shared" si="1"/>
        <v>210.22</v>
      </c>
      <c r="H7" s="7">
        <f t="shared" si="2"/>
        <v>1051.0999999999999</v>
      </c>
      <c r="I7" s="6">
        <f t="shared" si="3"/>
        <v>630.66</v>
      </c>
      <c r="J7">
        <v>650</v>
      </c>
      <c r="K7">
        <f t="shared" si="4"/>
        <v>65000</v>
      </c>
      <c r="L7">
        <v>5</v>
      </c>
      <c r="M7">
        <f t="shared" si="5"/>
        <v>3250</v>
      </c>
      <c r="N7" s="7">
        <f>M7+M7*0.25</f>
        <v>4062.5</v>
      </c>
      <c r="O7">
        <v>20</v>
      </c>
      <c r="P7" s="6">
        <f t="shared" si="6"/>
        <v>81250</v>
      </c>
    </row>
    <row r="8" spans="2:16" x14ac:dyDescent="0.3">
      <c r="B8" s="1" t="s">
        <v>56</v>
      </c>
      <c r="C8">
        <v>25073</v>
      </c>
      <c r="D8">
        <v>1919</v>
      </c>
      <c r="E8" s="7">
        <f t="shared" si="0"/>
        <v>26992</v>
      </c>
      <c r="F8">
        <v>100</v>
      </c>
      <c r="G8" s="7">
        <f t="shared" si="1"/>
        <v>269.92</v>
      </c>
      <c r="H8" s="7">
        <f t="shared" si="2"/>
        <v>1349.6000000000001</v>
      </c>
      <c r="I8" s="6">
        <f t="shared" si="3"/>
        <v>809.76</v>
      </c>
      <c r="J8">
        <v>750</v>
      </c>
      <c r="K8">
        <f t="shared" si="4"/>
        <v>75000</v>
      </c>
      <c r="L8">
        <v>5</v>
      </c>
      <c r="M8">
        <f t="shared" si="5"/>
        <v>3750</v>
      </c>
      <c r="N8" s="7">
        <f>M8+M8*0.25</f>
        <v>4687.5</v>
      </c>
      <c r="O8">
        <v>20</v>
      </c>
      <c r="P8" s="6">
        <f t="shared" si="6"/>
        <v>93750</v>
      </c>
    </row>
    <row r="9" spans="2:16" x14ac:dyDescent="0.3">
      <c r="B9" s="1" t="s">
        <v>54</v>
      </c>
      <c r="C9">
        <f>SUM(C2:C8)</f>
        <v>96502</v>
      </c>
      <c r="D9">
        <f>SUM(D2:D8)</f>
        <v>10758</v>
      </c>
      <c r="E9" s="7">
        <f>SUM(E2:E8)</f>
        <v>107260</v>
      </c>
      <c r="F9">
        <f>SUM(F2:F8)</f>
        <v>350</v>
      </c>
      <c r="G9" s="7"/>
      <c r="H9" s="7"/>
      <c r="K9">
        <f>SUM(K2:K8)</f>
        <v>306000</v>
      </c>
      <c r="P9" s="6">
        <f>SUM(P2:P8)</f>
        <v>326856</v>
      </c>
    </row>
    <row r="10" spans="2:16" x14ac:dyDescent="0.3">
      <c r="G10" t="s">
        <v>61</v>
      </c>
    </row>
    <row r="11" spans="2:16" x14ac:dyDescent="0.3">
      <c r="G11">
        <v>3</v>
      </c>
      <c r="O11" t="s">
        <v>0</v>
      </c>
      <c r="P11" s="6">
        <f>P9-E9</f>
        <v>219596</v>
      </c>
    </row>
    <row r="17" spans="9:9" x14ac:dyDescent="0.3">
      <c r="I17">
        <f>9500-1730</f>
        <v>7770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7"/>
  <sheetViews>
    <sheetView tabSelected="1" topLeftCell="B1" workbookViewId="0">
      <selection activeCell="C9" sqref="C9"/>
    </sheetView>
  </sheetViews>
  <sheetFormatPr baseColWidth="10" defaultRowHeight="14.4" x14ac:dyDescent="0.3"/>
  <cols>
    <col min="5" max="5" width="13" bestFit="1" customWidth="1"/>
    <col min="11" max="11" width="13" bestFit="1" customWidth="1"/>
  </cols>
  <sheetData>
    <row r="1" spans="1:15" x14ac:dyDescent="0.3">
      <c r="C1" t="s">
        <v>89</v>
      </c>
      <c r="H1">
        <v>2.5</v>
      </c>
    </row>
    <row r="2" spans="1:15" x14ac:dyDescent="0.3">
      <c r="A2" s="29"/>
      <c r="B2" s="30" t="s">
        <v>29</v>
      </c>
      <c r="C2" s="29">
        <v>210</v>
      </c>
      <c r="D2" s="29">
        <v>304</v>
      </c>
      <c r="E2">
        <f t="shared" ref="E2:E8" si="0">C2*D2</f>
        <v>63840</v>
      </c>
      <c r="F2">
        <v>104</v>
      </c>
      <c r="G2" s="3">
        <f>D2/F2</f>
        <v>2.9230769230769229</v>
      </c>
      <c r="H2">
        <f>F2*$H$1</f>
        <v>260</v>
      </c>
      <c r="K2">
        <f>F2*C2</f>
        <v>21840</v>
      </c>
      <c r="M2">
        <v>4</v>
      </c>
      <c r="N2">
        <f>M2*D2</f>
        <v>1216</v>
      </c>
      <c r="O2">
        <f>M2*F2</f>
        <v>416</v>
      </c>
    </row>
    <row r="3" spans="1:15" x14ac:dyDescent="0.3">
      <c r="A3" s="29"/>
      <c r="B3" s="30" t="s">
        <v>22</v>
      </c>
      <c r="C3" s="29">
        <v>150</v>
      </c>
      <c r="D3" s="29">
        <v>407</v>
      </c>
      <c r="E3">
        <f t="shared" si="0"/>
        <v>61050</v>
      </c>
      <c r="F3">
        <v>128</v>
      </c>
      <c r="G3" s="3">
        <f t="shared" ref="G3:G8" si="1">D3/F3</f>
        <v>3.1796875</v>
      </c>
      <c r="H3">
        <f t="shared" ref="H3:H9" si="2">F3*$H$1</f>
        <v>320</v>
      </c>
      <c r="J3" t="s">
        <v>62</v>
      </c>
      <c r="K3">
        <f t="shared" ref="K3:K9" si="3">F3*C3</f>
        <v>19200</v>
      </c>
      <c r="M3">
        <v>4</v>
      </c>
      <c r="N3">
        <f>M3*D3</f>
        <v>1628</v>
      </c>
      <c r="O3">
        <f>M3*F3</f>
        <v>512</v>
      </c>
    </row>
    <row r="4" spans="1:15" x14ac:dyDescent="0.3">
      <c r="A4" s="29"/>
      <c r="B4" s="30" t="s">
        <v>115</v>
      </c>
      <c r="C4" s="29">
        <v>150</v>
      </c>
      <c r="D4" s="29">
        <v>470</v>
      </c>
      <c r="F4">
        <v>138</v>
      </c>
      <c r="G4" s="3"/>
    </row>
    <row r="5" spans="1:15" x14ac:dyDescent="0.3">
      <c r="A5" s="29"/>
      <c r="B5" s="30" t="s">
        <v>30</v>
      </c>
      <c r="C5" s="29">
        <v>150</v>
      </c>
      <c r="D5" s="29">
        <v>519</v>
      </c>
      <c r="E5">
        <f t="shared" si="0"/>
        <v>77850</v>
      </c>
      <c r="F5">
        <v>165</v>
      </c>
      <c r="G5" s="3">
        <f t="shared" si="1"/>
        <v>3.1454545454545455</v>
      </c>
      <c r="H5">
        <f t="shared" si="2"/>
        <v>412.5</v>
      </c>
      <c r="I5">
        <v>10</v>
      </c>
      <c r="J5">
        <f>I5*D2</f>
        <v>3040</v>
      </c>
      <c r="K5">
        <f t="shared" si="3"/>
        <v>24750</v>
      </c>
      <c r="N5">
        <f>M5*D5</f>
        <v>0</v>
      </c>
      <c r="O5">
        <f>M5*F5</f>
        <v>0</v>
      </c>
    </row>
    <row r="6" spans="1:15" x14ac:dyDescent="0.3">
      <c r="A6" s="29"/>
      <c r="B6" s="30" t="s">
        <v>23</v>
      </c>
      <c r="C6" s="29">
        <v>100</v>
      </c>
      <c r="D6" s="29">
        <v>694</v>
      </c>
      <c r="E6">
        <f t="shared" si="0"/>
        <v>69400</v>
      </c>
      <c r="F6">
        <v>220</v>
      </c>
      <c r="G6" s="3">
        <f t="shared" si="1"/>
        <v>3.1545454545454548</v>
      </c>
      <c r="H6">
        <f t="shared" si="2"/>
        <v>550</v>
      </c>
      <c r="I6">
        <v>6</v>
      </c>
      <c r="J6">
        <f>I6*D3</f>
        <v>2442</v>
      </c>
      <c r="K6">
        <f t="shared" si="3"/>
        <v>22000</v>
      </c>
      <c r="N6">
        <f>M6*D6</f>
        <v>0</v>
      </c>
      <c r="O6">
        <f>M6*F6</f>
        <v>0</v>
      </c>
    </row>
    <row r="7" spans="1:15" x14ac:dyDescent="0.3">
      <c r="A7" s="29"/>
      <c r="B7" s="30" t="s">
        <v>51</v>
      </c>
      <c r="C7" s="29">
        <v>60</v>
      </c>
      <c r="D7" s="29">
        <v>986</v>
      </c>
      <c r="E7">
        <f t="shared" si="0"/>
        <v>59160</v>
      </c>
      <c r="F7">
        <v>446</v>
      </c>
      <c r="G7" s="3">
        <f t="shared" si="1"/>
        <v>2.210762331838565</v>
      </c>
      <c r="H7">
        <f t="shared" si="2"/>
        <v>1115</v>
      </c>
      <c r="I7" s="8" t="s">
        <v>36</v>
      </c>
      <c r="J7">
        <f>SUM(J5:J6)</f>
        <v>5482</v>
      </c>
      <c r="K7">
        <f t="shared" si="3"/>
        <v>26760</v>
      </c>
    </row>
    <row r="8" spans="1:15" x14ac:dyDescent="0.3">
      <c r="B8" s="1" t="s">
        <v>52</v>
      </c>
      <c r="C8">
        <v>115</v>
      </c>
      <c r="D8">
        <v>1468</v>
      </c>
      <c r="E8">
        <f t="shared" si="0"/>
        <v>168820</v>
      </c>
      <c r="F8">
        <v>731</v>
      </c>
      <c r="G8" s="3">
        <f t="shared" si="1"/>
        <v>2.0082079343365251</v>
      </c>
      <c r="H8">
        <f t="shared" si="2"/>
        <v>1827.5</v>
      </c>
      <c r="K8">
        <f t="shared" si="3"/>
        <v>84065</v>
      </c>
    </row>
    <row r="9" spans="1:15" x14ac:dyDescent="0.3">
      <c r="B9" s="1" t="s">
        <v>53</v>
      </c>
      <c r="C9">
        <v>305</v>
      </c>
      <c r="D9">
        <v>1468</v>
      </c>
      <c r="E9">
        <f>C9*D9</f>
        <v>447740</v>
      </c>
      <c r="F9">
        <v>582</v>
      </c>
      <c r="G9" s="3">
        <f>D9/F9</f>
        <v>2.5223367697594501</v>
      </c>
      <c r="H9">
        <f t="shared" si="2"/>
        <v>1455</v>
      </c>
      <c r="K9">
        <f t="shared" si="3"/>
        <v>177510</v>
      </c>
    </row>
    <row r="10" spans="1:15" x14ac:dyDescent="0.3">
      <c r="B10" s="1" t="s">
        <v>2</v>
      </c>
      <c r="C10">
        <v>270</v>
      </c>
      <c r="D10">
        <v>665</v>
      </c>
      <c r="E10">
        <f>C10*D10</f>
        <v>179550</v>
      </c>
    </row>
    <row r="11" spans="1:15" x14ac:dyDescent="0.3">
      <c r="B11" s="1" t="s">
        <v>3</v>
      </c>
      <c r="C11">
        <v>60</v>
      </c>
      <c r="D11">
        <v>562</v>
      </c>
      <c r="E11">
        <f>C11*D11</f>
        <v>33720</v>
      </c>
    </row>
    <row r="12" spans="1:15" x14ac:dyDescent="0.3">
      <c r="B12" s="1" t="s">
        <v>112</v>
      </c>
      <c r="C12">
        <v>640</v>
      </c>
      <c r="D12">
        <v>48</v>
      </c>
      <c r="E12">
        <f>C12*D12</f>
        <v>30720</v>
      </c>
      <c r="F12">
        <v>270</v>
      </c>
      <c r="G12" s="3">
        <f>D10/F12</f>
        <v>2.4629629629629628</v>
      </c>
      <c r="K12">
        <f>C10*F12</f>
        <v>72900</v>
      </c>
    </row>
    <row r="13" spans="1:15" x14ac:dyDescent="0.3">
      <c r="B13" s="1" t="s">
        <v>113</v>
      </c>
      <c r="C13">
        <v>240</v>
      </c>
      <c r="D13">
        <v>70</v>
      </c>
      <c r="E13">
        <f>C13*D13</f>
        <v>16800</v>
      </c>
      <c r="F13">
        <v>200</v>
      </c>
      <c r="G13" s="3">
        <f>D11/F13</f>
        <v>2.81</v>
      </c>
      <c r="K13">
        <f>C11*F13</f>
        <v>12000</v>
      </c>
    </row>
    <row r="14" spans="1:15" x14ac:dyDescent="0.3">
      <c r="B14" s="1"/>
      <c r="G14" t="s">
        <v>75</v>
      </c>
    </row>
    <row r="15" spans="1:15" x14ac:dyDescent="0.3">
      <c r="B15" s="1"/>
      <c r="C15" t="s">
        <v>63</v>
      </c>
      <c r="E15" s="7">
        <f>SUM(E2:E13)</f>
        <v>1208650</v>
      </c>
      <c r="G15" s="6">
        <f>E15-K15</f>
        <v>747625</v>
      </c>
      <c r="K15" s="7">
        <f>SUM(K2:K14)</f>
        <v>461025</v>
      </c>
    </row>
    <row r="16" spans="1:15" x14ac:dyDescent="0.3">
      <c r="B16" s="1"/>
    </row>
    <row r="18" spans="4:18" x14ac:dyDescent="0.3">
      <c r="K18" t="s">
        <v>90</v>
      </c>
    </row>
    <row r="19" spans="4:18" x14ac:dyDescent="0.3">
      <c r="D19" t="s">
        <v>105</v>
      </c>
      <c r="E19">
        <v>200</v>
      </c>
      <c r="F19">
        <v>2</v>
      </c>
      <c r="K19" s="30" t="s">
        <v>29</v>
      </c>
      <c r="L19" s="29"/>
      <c r="M19" s="29">
        <v>304</v>
      </c>
      <c r="N19">
        <f>L19*M19</f>
        <v>0</v>
      </c>
    </row>
    <row r="20" spans="4:18" x14ac:dyDescent="0.3">
      <c r="E20">
        <v>200</v>
      </c>
      <c r="F20">
        <v>3</v>
      </c>
      <c r="K20" s="30" t="s">
        <v>22</v>
      </c>
      <c r="L20" s="29"/>
      <c r="M20" s="29">
        <v>407</v>
      </c>
      <c r="N20">
        <f t="shared" ref="N20:N27" si="4">L20*M20</f>
        <v>0</v>
      </c>
    </row>
    <row r="21" spans="4:18" x14ac:dyDescent="0.3">
      <c r="K21" s="30" t="s">
        <v>115</v>
      </c>
      <c r="L21" s="29"/>
      <c r="M21" s="29">
        <v>470</v>
      </c>
      <c r="N21">
        <f>L21*M21</f>
        <v>0</v>
      </c>
    </row>
    <row r="22" spans="4:18" x14ac:dyDescent="0.3">
      <c r="E22">
        <v>100</v>
      </c>
      <c r="F22" s="2" t="s">
        <v>51</v>
      </c>
      <c r="K22" s="30" t="s">
        <v>30</v>
      </c>
      <c r="L22" s="29"/>
      <c r="M22" s="29">
        <v>519</v>
      </c>
      <c r="N22">
        <f t="shared" si="4"/>
        <v>0</v>
      </c>
    </row>
    <row r="23" spans="4:18" x14ac:dyDescent="0.3">
      <c r="E23">
        <v>100</v>
      </c>
      <c r="F23" s="1" t="s">
        <v>30</v>
      </c>
      <c r="K23" s="30" t="s">
        <v>23</v>
      </c>
      <c r="L23" s="29"/>
      <c r="M23" s="29">
        <v>694</v>
      </c>
      <c r="N23">
        <f t="shared" si="4"/>
        <v>0</v>
      </c>
    </row>
    <row r="24" spans="4:18" x14ac:dyDescent="0.3">
      <c r="F24" s="1"/>
      <c r="K24" s="1" t="s">
        <v>51</v>
      </c>
      <c r="L24" s="29"/>
      <c r="M24" s="29">
        <v>986</v>
      </c>
      <c r="N24">
        <f t="shared" si="4"/>
        <v>0</v>
      </c>
    </row>
    <row r="25" spans="4:18" x14ac:dyDescent="0.3">
      <c r="F25" s="1"/>
      <c r="K25" s="1" t="s">
        <v>52</v>
      </c>
      <c r="L25" s="29"/>
      <c r="M25" s="29">
        <v>1468</v>
      </c>
      <c r="N25">
        <f t="shared" si="4"/>
        <v>0</v>
      </c>
    </row>
    <row r="26" spans="4:18" x14ac:dyDescent="0.3">
      <c r="F26" s="45">
        <f>SUM(N19:N30)+E15</f>
        <v>1208650</v>
      </c>
      <c r="K26" s="30" t="s">
        <v>53</v>
      </c>
      <c r="L26" s="29"/>
      <c r="M26" s="29">
        <v>1502</v>
      </c>
      <c r="N26">
        <f t="shared" si="4"/>
        <v>0</v>
      </c>
      <c r="O26">
        <v>5</v>
      </c>
      <c r="P26">
        <f>L26/O26</f>
        <v>0</v>
      </c>
      <c r="Q26">
        <v>8200</v>
      </c>
      <c r="R26">
        <f>P26*Q26</f>
        <v>0</v>
      </c>
    </row>
    <row r="27" spans="4:18" x14ac:dyDescent="0.3">
      <c r="K27" s="30" t="s">
        <v>3</v>
      </c>
      <c r="M27">
        <v>605</v>
      </c>
      <c r="N27">
        <f t="shared" si="4"/>
        <v>0</v>
      </c>
      <c r="O27">
        <v>10</v>
      </c>
      <c r="P27">
        <f>L27/O27</f>
        <v>0</v>
      </c>
      <c r="Q27">
        <v>6050</v>
      </c>
      <c r="R27">
        <f>P27*Q27</f>
        <v>0</v>
      </c>
    </row>
    <row r="28" spans="4:18" x14ac:dyDescent="0.3">
      <c r="K28" s="30" t="s">
        <v>2</v>
      </c>
      <c r="M28">
        <v>562</v>
      </c>
      <c r="N28">
        <f>L28*M28</f>
        <v>0</v>
      </c>
      <c r="O28">
        <v>10</v>
      </c>
      <c r="P28">
        <f>L28/O28</f>
        <v>0</v>
      </c>
      <c r="Q28">
        <v>7082</v>
      </c>
      <c r="R28">
        <f>P28*Q28</f>
        <v>0</v>
      </c>
    </row>
    <row r="29" spans="4:18" x14ac:dyDescent="0.3">
      <c r="K29" s="30" t="s">
        <v>112</v>
      </c>
      <c r="M29">
        <v>48</v>
      </c>
      <c r="N29">
        <f>L29*M29</f>
        <v>0</v>
      </c>
    </row>
    <row r="30" spans="4:18" x14ac:dyDescent="0.3">
      <c r="M30">
        <v>70</v>
      </c>
      <c r="N30">
        <f>L30*M30</f>
        <v>0</v>
      </c>
    </row>
    <row r="31" spans="4:18" x14ac:dyDescent="0.3">
      <c r="M31" t="s">
        <v>90</v>
      </c>
      <c r="N31">
        <f>SUM(N19:N30)</f>
        <v>0</v>
      </c>
    </row>
    <row r="35" spans="13:13" x14ac:dyDescent="0.3">
      <c r="M35">
        <v>146770</v>
      </c>
    </row>
    <row r="36" spans="13:13" x14ac:dyDescent="0.3">
      <c r="M36">
        <v>50567</v>
      </c>
    </row>
    <row r="37" spans="13:13" x14ac:dyDescent="0.3">
      <c r="M37">
        <f>SUM(M35:M36)</f>
        <v>197337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FCC2-0DF5-45DA-BD39-70E0047E9B34}">
  <dimension ref="F4:N18"/>
  <sheetViews>
    <sheetView workbookViewId="0">
      <selection activeCell="F9" sqref="F9"/>
    </sheetView>
  </sheetViews>
  <sheetFormatPr baseColWidth="10" defaultRowHeight="14.4" x14ac:dyDescent="0.3"/>
  <cols>
    <col min="6" max="6" width="16.88671875" bestFit="1" customWidth="1"/>
  </cols>
  <sheetData>
    <row r="4" spans="6:14" x14ac:dyDescent="0.3">
      <c r="F4" t="s">
        <v>125</v>
      </c>
      <c r="G4">
        <v>22374</v>
      </c>
      <c r="H4" t="s">
        <v>36</v>
      </c>
      <c r="I4">
        <f>SUM(G:G)</f>
        <v>305969</v>
      </c>
      <c r="L4">
        <v>30755</v>
      </c>
      <c r="N4" s="52">
        <v>30755</v>
      </c>
    </row>
    <row r="5" spans="6:14" x14ac:dyDescent="0.3">
      <c r="F5" t="s">
        <v>117</v>
      </c>
      <c r="G5">
        <v>9512</v>
      </c>
      <c r="L5">
        <v>53902</v>
      </c>
    </row>
    <row r="6" spans="6:14" x14ac:dyDescent="0.3">
      <c r="F6" t="s">
        <v>126</v>
      </c>
      <c r="G6">
        <v>20252</v>
      </c>
      <c r="L6">
        <v>47359</v>
      </c>
      <c r="N6" s="52">
        <v>47359</v>
      </c>
    </row>
    <row r="7" spans="6:14" x14ac:dyDescent="0.3">
      <c r="F7" t="s">
        <v>127</v>
      </c>
      <c r="G7">
        <v>19873</v>
      </c>
      <c r="L7">
        <v>20868</v>
      </c>
      <c r="N7" s="52">
        <v>20868</v>
      </c>
    </row>
    <row r="8" spans="6:14" x14ac:dyDescent="0.3">
      <c r="F8" t="s">
        <v>128</v>
      </c>
      <c r="G8">
        <v>10999</v>
      </c>
      <c r="L8">
        <v>26958</v>
      </c>
      <c r="N8" s="52">
        <v>26958</v>
      </c>
    </row>
    <row r="9" spans="6:14" x14ac:dyDescent="0.3">
      <c r="F9" t="s">
        <v>129</v>
      </c>
      <c r="G9">
        <v>2893</v>
      </c>
      <c r="L9">
        <v>15985</v>
      </c>
    </row>
    <row r="10" spans="6:14" x14ac:dyDescent="0.3">
      <c r="F10" t="s">
        <v>130</v>
      </c>
      <c r="G10" s="52">
        <v>72137</v>
      </c>
      <c r="L10">
        <v>6506</v>
      </c>
    </row>
    <row r="11" spans="6:14" x14ac:dyDescent="0.3">
      <c r="F11" t="s">
        <v>131</v>
      </c>
      <c r="G11" s="52">
        <v>47359</v>
      </c>
      <c r="L11">
        <v>53902</v>
      </c>
    </row>
    <row r="12" spans="6:14" x14ac:dyDescent="0.3">
      <c r="F12" t="s">
        <v>132</v>
      </c>
      <c r="G12" s="52">
        <v>20868</v>
      </c>
      <c r="L12">
        <v>74585</v>
      </c>
    </row>
    <row r="13" spans="6:14" x14ac:dyDescent="0.3">
      <c r="F13" t="s">
        <v>133</v>
      </c>
      <c r="G13" s="52">
        <v>13148</v>
      </c>
      <c r="L13">
        <v>71137</v>
      </c>
      <c r="N13" s="52">
        <v>71137</v>
      </c>
    </row>
    <row r="14" spans="6:14" x14ac:dyDescent="0.3">
      <c r="F14" t="s">
        <v>133</v>
      </c>
      <c r="G14" s="52">
        <v>13810</v>
      </c>
      <c r="L14">
        <v>74585</v>
      </c>
    </row>
    <row r="15" spans="6:14" x14ac:dyDescent="0.3">
      <c r="F15" t="s">
        <v>134</v>
      </c>
      <c r="G15" s="52">
        <v>30755</v>
      </c>
      <c r="L15">
        <v>108009</v>
      </c>
      <c r="N15">
        <v>108009</v>
      </c>
    </row>
    <row r="16" spans="6:14" x14ac:dyDescent="0.3">
      <c r="F16" s="46">
        <v>555</v>
      </c>
      <c r="G16">
        <v>4485</v>
      </c>
      <c r="L16">
        <v>67427</v>
      </c>
    </row>
    <row r="17" spans="6:14" x14ac:dyDescent="0.3">
      <c r="F17" t="s">
        <v>135</v>
      </c>
      <c r="G17">
        <v>13908</v>
      </c>
      <c r="L17">
        <v>89801</v>
      </c>
      <c r="N17">
        <v>89801</v>
      </c>
    </row>
    <row r="18" spans="6:14" x14ac:dyDescent="0.3">
      <c r="F18" t="s">
        <v>118</v>
      </c>
      <c r="G18">
        <v>3596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O37"/>
  <sheetViews>
    <sheetView topLeftCell="A25" workbookViewId="0">
      <selection activeCell="F27" sqref="F27"/>
    </sheetView>
  </sheetViews>
  <sheetFormatPr baseColWidth="10" defaultRowHeight="14.4" x14ac:dyDescent="0.3"/>
  <cols>
    <col min="5" max="5" width="9.5546875" customWidth="1"/>
    <col min="6" max="6" width="13" bestFit="1" customWidth="1"/>
    <col min="7" max="7" width="14.5546875" bestFit="1" customWidth="1"/>
    <col min="10" max="10" width="12" bestFit="1" customWidth="1"/>
    <col min="13" max="13" width="14.5546875" bestFit="1" customWidth="1"/>
    <col min="15" max="15" width="12" bestFit="1" customWidth="1"/>
  </cols>
  <sheetData>
    <row r="1" spans="3:10" x14ac:dyDescent="0.3">
      <c r="C1" s="56" t="s">
        <v>68</v>
      </c>
      <c r="D1" s="56"/>
      <c r="E1" s="56"/>
      <c r="F1" s="56"/>
      <c r="G1" s="56"/>
      <c r="H1" s="56"/>
      <c r="I1" s="56"/>
      <c r="J1" s="56"/>
    </row>
    <row r="2" spans="3:10" x14ac:dyDescent="0.3">
      <c r="E2" s="15" t="s">
        <v>64</v>
      </c>
      <c r="F2" s="15" t="s">
        <v>65</v>
      </c>
      <c r="G2" s="15" t="s">
        <v>74</v>
      </c>
      <c r="H2" s="16" t="s">
        <v>67</v>
      </c>
      <c r="I2" s="16" t="s">
        <v>66</v>
      </c>
    </row>
    <row r="3" spans="3:10" ht="64.5" customHeight="1" x14ac:dyDescent="0.3">
      <c r="E3" s="17">
        <v>2</v>
      </c>
      <c r="F3" s="17"/>
      <c r="G3" s="18">
        <v>380</v>
      </c>
      <c r="H3" s="17">
        <v>10</v>
      </c>
      <c r="I3" s="18">
        <v>3500</v>
      </c>
    </row>
    <row r="4" spans="3:10" ht="64.5" customHeight="1" x14ac:dyDescent="0.3">
      <c r="E4" s="17">
        <v>3</v>
      </c>
      <c r="F4" s="17"/>
      <c r="G4" s="18">
        <v>480</v>
      </c>
      <c r="H4" s="17">
        <v>10</v>
      </c>
      <c r="I4" s="18">
        <v>4500</v>
      </c>
    </row>
    <row r="5" spans="3:10" ht="64.5" customHeight="1" x14ac:dyDescent="0.3">
      <c r="E5" s="17">
        <v>5</v>
      </c>
      <c r="F5" s="17"/>
      <c r="G5" s="18">
        <v>580</v>
      </c>
      <c r="H5" s="17">
        <v>10</v>
      </c>
      <c r="I5" s="18">
        <v>5000</v>
      </c>
    </row>
    <row r="6" spans="3:10" ht="64.5" customHeight="1" x14ac:dyDescent="0.3">
      <c r="E6" s="17">
        <v>8</v>
      </c>
      <c r="F6" s="17"/>
      <c r="G6" s="18">
        <v>680</v>
      </c>
      <c r="H6" s="17">
        <v>10</v>
      </c>
      <c r="I6" s="18">
        <v>6500</v>
      </c>
    </row>
    <row r="7" spans="3:10" ht="64.5" customHeight="1" x14ac:dyDescent="0.3">
      <c r="E7" s="17">
        <v>2</v>
      </c>
      <c r="F7" s="17">
        <v>2</v>
      </c>
      <c r="G7" s="18">
        <v>680</v>
      </c>
      <c r="H7" s="17">
        <v>10</v>
      </c>
      <c r="I7" s="18">
        <v>6500</v>
      </c>
    </row>
    <row r="8" spans="3:10" ht="64.5" customHeight="1" x14ac:dyDescent="0.3">
      <c r="E8" s="17">
        <v>2</v>
      </c>
      <c r="F8" s="17">
        <v>4</v>
      </c>
      <c r="G8" s="18">
        <v>1180</v>
      </c>
      <c r="H8" s="19">
        <v>5</v>
      </c>
      <c r="I8" s="20">
        <v>5500</v>
      </c>
    </row>
    <row r="9" spans="3:10" ht="64.5" customHeight="1" x14ac:dyDescent="0.3">
      <c r="E9" s="17">
        <v>2</v>
      </c>
      <c r="F9" s="17">
        <v>6</v>
      </c>
      <c r="G9" s="18">
        <v>1680</v>
      </c>
      <c r="H9" s="19">
        <v>5</v>
      </c>
      <c r="I9" s="20">
        <v>8000</v>
      </c>
    </row>
    <row r="10" spans="3:10" ht="64.5" customHeight="1" x14ac:dyDescent="0.3">
      <c r="E10" s="17">
        <v>3</v>
      </c>
      <c r="F10" s="17">
        <v>3</v>
      </c>
      <c r="G10" s="18">
        <v>780</v>
      </c>
      <c r="H10" s="19">
        <v>10</v>
      </c>
      <c r="I10" s="20">
        <v>7500</v>
      </c>
    </row>
    <row r="11" spans="3:10" ht="64.5" customHeight="1" x14ac:dyDescent="0.3">
      <c r="E11" s="17">
        <v>3</v>
      </c>
      <c r="F11" s="17">
        <v>6</v>
      </c>
      <c r="G11" s="18">
        <v>1530</v>
      </c>
      <c r="H11" s="19">
        <v>5</v>
      </c>
      <c r="I11" s="20">
        <v>7500</v>
      </c>
    </row>
    <row r="12" spans="3:10" ht="16.5" customHeight="1" x14ac:dyDescent="0.3">
      <c r="E12" t="s">
        <v>71</v>
      </c>
      <c r="F12" s="57" t="s">
        <v>69</v>
      </c>
      <c r="G12" s="57"/>
      <c r="H12" s="57"/>
    </row>
    <row r="13" spans="3:10" x14ac:dyDescent="0.3">
      <c r="E13" t="s">
        <v>72</v>
      </c>
      <c r="F13" s="58">
        <v>984365571</v>
      </c>
      <c r="G13" s="58"/>
      <c r="H13" s="58"/>
    </row>
    <row r="14" spans="3:10" x14ac:dyDescent="0.3">
      <c r="E14" t="s">
        <v>73</v>
      </c>
      <c r="F14" s="59" t="s">
        <v>70</v>
      </c>
      <c r="G14" s="58"/>
      <c r="H14" s="58"/>
    </row>
    <row r="25" spans="2:15" x14ac:dyDescent="0.3">
      <c r="B25" t="s">
        <v>76</v>
      </c>
    </row>
    <row r="26" spans="2:15" x14ac:dyDescent="0.3">
      <c r="F26">
        <v>820</v>
      </c>
      <c r="G26" t="s">
        <v>78</v>
      </c>
    </row>
    <row r="27" spans="2:15" x14ac:dyDescent="0.3">
      <c r="B27" s="2">
        <v>2</v>
      </c>
      <c r="C27">
        <v>4000</v>
      </c>
      <c r="D27">
        <v>4.5999999999999999E-2</v>
      </c>
      <c r="E27">
        <f t="shared" ref="E27:E32" si="0">C27*D27</f>
        <v>184</v>
      </c>
      <c r="F27" s="7">
        <f t="shared" ref="F27:F32" si="1">E27*$F$26</f>
        <v>150880</v>
      </c>
      <c r="G27" s="6">
        <f t="shared" ref="G27:G32" si="2">F27/C27</f>
        <v>37.72</v>
      </c>
      <c r="H27" s="6">
        <f t="shared" ref="H27:H32" si="3">G27+$G$36</f>
        <v>80.635776499999992</v>
      </c>
      <c r="I27" s="6">
        <f t="shared" ref="I27:I32" si="4">C27*H27</f>
        <v>322543.10599999997</v>
      </c>
      <c r="J27" s="6">
        <f t="shared" ref="J27:J32" si="5">C27*K27</f>
        <v>416000</v>
      </c>
      <c r="K27" s="7">
        <v>104</v>
      </c>
      <c r="L27" s="7">
        <v>200</v>
      </c>
      <c r="M27" s="7">
        <f t="shared" ref="M27:M32" si="6">L27*C27</f>
        <v>800000</v>
      </c>
      <c r="N27" s="7">
        <v>304</v>
      </c>
      <c r="O27" s="6">
        <f t="shared" ref="O27:O32" si="7">N27*C27</f>
        <v>1216000</v>
      </c>
    </row>
    <row r="28" spans="2:15" x14ac:dyDescent="0.3">
      <c r="B28" s="2">
        <v>3</v>
      </c>
      <c r="C28">
        <v>4000</v>
      </c>
      <c r="D28">
        <v>6.6000000000000003E-2</v>
      </c>
      <c r="E28">
        <f t="shared" si="0"/>
        <v>264</v>
      </c>
      <c r="F28" s="7">
        <f t="shared" si="1"/>
        <v>216480</v>
      </c>
      <c r="G28" s="6">
        <f t="shared" si="2"/>
        <v>54.12</v>
      </c>
      <c r="H28" s="6">
        <f t="shared" si="3"/>
        <v>97.035776499999997</v>
      </c>
      <c r="I28" s="6">
        <f t="shared" si="4"/>
        <v>388143.10599999997</v>
      </c>
      <c r="J28" s="6">
        <f t="shared" si="5"/>
        <v>512000</v>
      </c>
      <c r="K28" s="7">
        <v>128</v>
      </c>
      <c r="L28" s="7">
        <v>300</v>
      </c>
      <c r="M28" s="7">
        <f t="shared" si="6"/>
        <v>1200000</v>
      </c>
      <c r="N28" s="28">
        <v>390</v>
      </c>
      <c r="O28" s="6">
        <f t="shared" si="7"/>
        <v>1560000</v>
      </c>
    </row>
    <row r="29" spans="2:15" x14ac:dyDescent="0.3">
      <c r="B29" s="2">
        <v>5</v>
      </c>
      <c r="C29">
        <v>2000</v>
      </c>
      <c r="D29">
        <v>0.09</v>
      </c>
      <c r="E29">
        <f t="shared" si="0"/>
        <v>180</v>
      </c>
      <c r="F29" s="7">
        <f t="shared" si="1"/>
        <v>147600</v>
      </c>
      <c r="G29" s="6">
        <f t="shared" si="2"/>
        <v>73.8</v>
      </c>
      <c r="H29" s="6">
        <f t="shared" si="3"/>
        <v>116.7157765</v>
      </c>
      <c r="I29" s="6">
        <f t="shared" si="4"/>
        <v>233431.55300000001</v>
      </c>
      <c r="J29" s="6">
        <f t="shared" si="5"/>
        <v>330000</v>
      </c>
      <c r="K29" s="7">
        <v>165</v>
      </c>
      <c r="L29" s="7">
        <v>450</v>
      </c>
      <c r="M29" s="7">
        <f t="shared" si="6"/>
        <v>900000</v>
      </c>
      <c r="N29" s="28">
        <v>476</v>
      </c>
      <c r="O29" s="6">
        <f t="shared" si="7"/>
        <v>952000</v>
      </c>
    </row>
    <row r="30" spans="2:15" x14ac:dyDescent="0.3">
      <c r="B30" s="2">
        <v>8</v>
      </c>
      <c r="C30">
        <v>1000</v>
      </c>
      <c r="D30">
        <v>0.15</v>
      </c>
      <c r="E30">
        <f t="shared" si="0"/>
        <v>150</v>
      </c>
      <c r="F30" s="7">
        <f t="shared" si="1"/>
        <v>123000</v>
      </c>
      <c r="G30" s="6">
        <f t="shared" si="2"/>
        <v>123</v>
      </c>
      <c r="H30" s="6">
        <f t="shared" si="3"/>
        <v>165.91577649999999</v>
      </c>
      <c r="I30" s="6">
        <f t="shared" si="4"/>
        <v>165915.77649999998</v>
      </c>
      <c r="J30" s="6">
        <f t="shared" si="5"/>
        <v>287000</v>
      </c>
      <c r="K30" s="7">
        <v>287</v>
      </c>
      <c r="L30" s="7">
        <v>650</v>
      </c>
      <c r="M30" s="7">
        <f t="shared" si="6"/>
        <v>650000</v>
      </c>
      <c r="N30" s="28">
        <v>648</v>
      </c>
      <c r="O30" s="6">
        <f t="shared" si="7"/>
        <v>648000</v>
      </c>
    </row>
    <row r="31" spans="2:15" x14ac:dyDescent="0.3">
      <c r="B31" s="2" t="s">
        <v>77</v>
      </c>
      <c r="C31">
        <v>2000</v>
      </c>
      <c r="D31">
        <v>0.15</v>
      </c>
      <c r="E31">
        <f t="shared" si="0"/>
        <v>300</v>
      </c>
      <c r="F31" s="7">
        <f t="shared" si="1"/>
        <v>246000</v>
      </c>
      <c r="G31" s="6">
        <f t="shared" si="2"/>
        <v>123</v>
      </c>
      <c r="H31" s="6">
        <f t="shared" si="3"/>
        <v>165.91577649999999</v>
      </c>
      <c r="I31" s="6">
        <f t="shared" si="4"/>
        <v>331831.55299999996</v>
      </c>
      <c r="J31" s="6">
        <f t="shared" si="5"/>
        <v>540000</v>
      </c>
      <c r="K31" s="7">
        <v>270</v>
      </c>
      <c r="L31" s="7">
        <v>600</v>
      </c>
      <c r="M31" s="7">
        <f t="shared" si="6"/>
        <v>1200000</v>
      </c>
      <c r="N31" s="7">
        <v>734</v>
      </c>
      <c r="O31" s="6">
        <f t="shared" si="7"/>
        <v>1468000</v>
      </c>
    </row>
    <row r="32" spans="2:15" x14ac:dyDescent="0.3">
      <c r="B32" s="2" t="s">
        <v>3</v>
      </c>
      <c r="C32">
        <v>3000</v>
      </c>
      <c r="D32">
        <v>0.12</v>
      </c>
      <c r="E32">
        <f t="shared" si="0"/>
        <v>360</v>
      </c>
      <c r="F32" s="7">
        <f t="shared" si="1"/>
        <v>295200</v>
      </c>
      <c r="G32" s="6">
        <f t="shared" si="2"/>
        <v>98.4</v>
      </c>
      <c r="H32" s="6">
        <f t="shared" si="3"/>
        <v>141.3157765</v>
      </c>
      <c r="I32" s="6">
        <f t="shared" si="4"/>
        <v>423947.32949999999</v>
      </c>
      <c r="J32" s="6">
        <f t="shared" si="5"/>
        <v>600000</v>
      </c>
      <c r="K32" s="7">
        <v>200</v>
      </c>
      <c r="L32" s="7">
        <v>500</v>
      </c>
      <c r="M32" s="7">
        <f t="shared" si="6"/>
        <v>1500000</v>
      </c>
      <c r="N32" s="7">
        <v>580</v>
      </c>
      <c r="O32" s="6">
        <f t="shared" si="7"/>
        <v>1740000</v>
      </c>
    </row>
    <row r="33" spans="5:13" x14ac:dyDescent="0.3">
      <c r="E33" t="s">
        <v>79</v>
      </c>
      <c r="F33" s="7">
        <v>300000</v>
      </c>
    </row>
    <row r="34" spans="5:13" x14ac:dyDescent="0.3">
      <c r="E34" s="27"/>
      <c r="F34" s="6">
        <f>SUM(F27:F33)</f>
        <v>1479160</v>
      </c>
    </row>
    <row r="35" spans="5:13" x14ac:dyDescent="0.3">
      <c r="E35" s="27">
        <v>0.06</v>
      </c>
      <c r="F35" s="6">
        <f>F34*E35</f>
        <v>88749.599999999991</v>
      </c>
    </row>
    <row r="36" spans="5:13" x14ac:dyDescent="0.3">
      <c r="E36" s="27">
        <v>0.19</v>
      </c>
      <c r="F36" s="6">
        <f>(F34+F35)*E36</f>
        <v>297902.82400000002</v>
      </c>
      <c r="G36">
        <f>(F35+F36+F33)/SUM(C27:C32)</f>
        <v>42.9157765</v>
      </c>
    </row>
    <row r="37" spans="5:13" x14ac:dyDescent="0.3">
      <c r="F37" t="s">
        <v>54</v>
      </c>
      <c r="G37" s="6">
        <f>SUM(F34:F36)</f>
        <v>1865812.4240000001</v>
      </c>
      <c r="J37" s="6">
        <f>SUM(J27:J32)</f>
        <v>2685000</v>
      </c>
      <c r="M37" s="6">
        <f>SUM(M27:M32)</f>
        <v>6250000</v>
      </c>
    </row>
  </sheetData>
  <mergeCells count="4">
    <mergeCell ref="C1:J1"/>
    <mergeCell ref="F12:H12"/>
    <mergeCell ref="F13:H13"/>
    <mergeCell ref="F14:H14"/>
  </mergeCells>
  <hyperlinks>
    <hyperlink ref="F14" r:id="rId1" xr:uid="{00000000-0004-0000-0500-000000000000}"/>
  </hyperlinks>
  <pageMargins left="0.7" right="0.7" top="0.75" bottom="0.75" header="0.3" footer="0.3"/>
  <pageSetup scale="83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Hoja8</vt:lpstr>
      <vt:lpstr>ventas</vt:lpstr>
      <vt:lpstr>semiconductores</vt:lpstr>
      <vt:lpstr>conectores rapidos blanco</vt:lpstr>
      <vt:lpstr>Hoja4</vt:lpstr>
      <vt:lpstr>INVENTARIO</vt:lpstr>
      <vt:lpstr>Hoja7</vt:lpstr>
      <vt:lpstr>cotizaciones china</vt:lpstr>
      <vt:lpstr>compras realizadas</vt:lpstr>
      <vt:lpstr>Hoja2</vt:lpstr>
      <vt:lpstr>Hoja3</vt:lpstr>
      <vt:lpstr>Hoja5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 Humberto Carrasco Navarrete</cp:lastModifiedBy>
  <cp:lastPrinted>2021-05-17T16:39:54Z</cp:lastPrinted>
  <dcterms:created xsi:type="dcterms:W3CDTF">2020-12-14T02:33:07Z</dcterms:created>
  <dcterms:modified xsi:type="dcterms:W3CDTF">2022-01-04T03:25:33Z</dcterms:modified>
</cp:coreProperties>
</file>