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WinSysFiles\Documents\KiCad\Projects\EQMOD_DIRECT_ISOLATED\EQMOD_DIRECT_Isolated\bom\"/>
    </mc:Choice>
  </mc:AlternateContent>
  <xr:revisionPtr revIDLastSave="0" documentId="8_{231D7B78-4E34-4316-89FB-1F06743138D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QMOD_DIRECT_Isolated. " sheetId="1" r:id="rId1"/>
  </sheets>
  <definedNames>
    <definedName name="BoardQty">'EQMOD_DIRECT_Isolated. '!$G$1</definedName>
    <definedName name="digikey_part_data">'EQMOD_DIRECT_Isolated. '!$H$5:$L$25</definedName>
    <definedName name="farnell_part_data">'EQMOD_DIRECT_Isolated. '!$M$5:$Q$25</definedName>
    <definedName name="global_part_data">'EQMOD_DIRECT_Isolated. '!$A$5:$G$25</definedName>
    <definedName name="mouser_part_data">'EQMOD_DIRECT_Isolated. '!$R$5:$V$25</definedName>
    <definedName name="newark_part_data">'EQMOD_DIRECT_Isolated. '!$W$5:$AA$25</definedName>
    <definedName name="PURCHASE_DESCRIPTION">'EQMOD_DIRECT_Isolated. '!$G$28</definedName>
    <definedName name="rs_part_data">'EQMOD_DIRECT_Isolated. '!$AB$5:$AF$25</definedName>
    <definedName name="TotalCost">'EQMOD_DIRECT_Isolated. '!$G$3</definedName>
    <definedName name="USD_GBP">'EQMOD_DIRECT_Isolated. '!$C$28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6" i="1" l="1" a="1"/>
  <c r="AC46" i="1" s="1"/>
  <c r="X46" i="1" a="1"/>
  <c r="X46" i="1" s="1"/>
  <c r="S46" i="1" a="1"/>
  <c r="S46" i="1" s="1"/>
  <c r="N46" i="1" a="1"/>
  <c r="N46" i="1" s="1"/>
  <c r="I46" i="1" a="1"/>
  <c r="I46" i="1" s="1"/>
  <c r="AC45" i="1" a="1"/>
  <c r="AC45" i="1" s="1"/>
  <c r="X45" i="1" a="1"/>
  <c r="X45" i="1" s="1"/>
  <c r="S45" i="1" a="1"/>
  <c r="S45" i="1" s="1"/>
  <c r="N45" i="1" a="1"/>
  <c r="N45" i="1" s="1"/>
  <c r="I45" i="1" a="1"/>
  <c r="I45" i="1" s="1"/>
  <c r="AC44" i="1" a="1"/>
  <c r="AC44" i="1" s="1"/>
  <c r="X44" i="1" a="1"/>
  <c r="X44" i="1" s="1"/>
  <c r="S44" i="1" a="1"/>
  <c r="S44" i="1" s="1"/>
  <c r="N44" i="1" a="1"/>
  <c r="N44" i="1" s="1"/>
  <c r="I44" i="1" a="1"/>
  <c r="I44" i="1" s="1"/>
  <c r="AC43" i="1" a="1"/>
  <c r="AC43" i="1" s="1"/>
  <c r="X43" i="1" a="1"/>
  <c r="X43" i="1" s="1"/>
  <c r="S43" i="1" a="1"/>
  <c r="S43" i="1" s="1"/>
  <c r="N43" i="1" a="1"/>
  <c r="N43" i="1" s="1"/>
  <c r="I43" i="1" a="1"/>
  <c r="I43" i="1" s="1"/>
  <c r="AC42" i="1" a="1"/>
  <c r="AC42" i="1" s="1"/>
  <c r="X42" i="1" a="1"/>
  <c r="X42" i="1" s="1"/>
  <c r="S42" i="1" a="1"/>
  <c r="S42" i="1" s="1"/>
  <c r="N42" i="1" a="1"/>
  <c r="N42" i="1" s="1"/>
  <c r="I42" i="1" a="1"/>
  <c r="I42" i="1" s="1"/>
  <c r="AC41" i="1" a="1"/>
  <c r="AC41" i="1" s="1"/>
  <c r="X41" i="1" a="1"/>
  <c r="X41" i="1" s="1"/>
  <c r="S41" i="1" a="1"/>
  <c r="S41" i="1" s="1"/>
  <c r="N41" i="1" a="1"/>
  <c r="N41" i="1" s="1"/>
  <c r="I41" i="1" a="1"/>
  <c r="I41" i="1" s="1"/>
  <c r="AC40" i="1" a="1"/>
  <c r="AC40" i="1" s="1"/>
  <c r="X40" i="1" a="1"/>
  <c r="X40" i="1" s="1"/>
  <c r="S40" i="1" a="1"/>
  <c r="S40" i="1" s="1"/>
  <c r="N40" i="1" a="1"/>
  <c r="N40" i="1" s="1"/>
  <c r="I40" i="1" a="1"/>
  <c r="I40" i="1" s="1"/>
  <c r="AC39" i="1" a="1"/>
  <c r="AC39" i="1" s="1"/>
  <c r="X39" i="1" a="1"/>
  <c r="X39" i="1" s="1"/>
  <c r="S39" i="1" a="1"/>
  <c r="S39" i="1" s="1"/>
  <c r="N39" i="1" a="1"/>
  <c r="N39" i="1" s="1"/>
  <c r="I39" i="1" a="1"/>
  <c r="I39" i="1" s="1"/>
  <c r="AC38" i="1" a="1"/>
  <c r="AC38" i="1" s="1"/>
  <c r="X38" i="1" a="1"/>
  <c r="X38" i="1" s="1"/>
  <c r="S38" i="1" a="1"/>
  <c r="S38" i="1" s="1"/>
  <c r="N38" i="1" a="1"/>
  <c r="N38" i="1" s="1"/>
  <c r="I38" i="1" a="1"/>
  <c r="I38" i="1" s="1"/>
  <c r="AC37" i="1" a="1"/>
  <c r="AC37" i="1" s="1"/>
  <c r="X37" i="1" a="1"/>
  <c r="X37" i="1" s="1"/>
  <c r="S37" i="1" a="1"/>
  <c r="S37" i="1" s="1"/>
  <c r="N37" i="1" a="1"/>
  <c r="N37" i="1" s="1"/>
  <c r="I37" i="1" a="1"/>
  <c r="I37" i="1" s="1"/>
  <c r="AC36" i="1" a="1"/>
  <c r="AC36" i="1" s="1"/>
  <c r="X36" i="1" a="1"/>
  <c r="X36" i="1" s="1"/>
  <c r="S36" i="1" a="1"/>
  <c r="S36" i="1" s="1"/>
  <c r="N36" i="1" a="1"/>
  <c r="N36" i="1" s="1"/>
  <c r="I36" i="1" a="1"/>
  <c r="I36" i="1" s="1"/>
  <c r="AC35" i="1" a="1"/>
  <c r="AC35" i="1" s="1"/>
  <c r="X35" i="1" a="1"/>
  <c r="X35" i="1" s="1"/>
  <c r="S35" i="1" a="1"/>
  <c r="S35" i="1" s="1"/>
  <c r="N35" i="1" a="1"/>
  <c r="N35" i="1" s="1"/>
  <c r="I35" i="1" a="1"/>
  <c r="I35" i="1" s="1"/>
  <c r="AC34" i="1" a="1"/>
  <c r="AC34" i="1" s="1"/>
  <c r="X34" i="1" a="1"/>
  <c r="X34" i="1" s="1"/>
  <c r="S34" i="1" a="1"/>
  <c r="S34" i="1" s="1"/>
  <c r="N34" i="1" a="1"/>
  <c r="N34" i="1" s="1"/>
  <c r="I34" i="1" a="1"/>
  <c r="I34" i="1" s="1"/>
  <c r="AC33" i="1" a="1"/>
  <c r="AC33" i="1" s="1"/>
  <c r="X33" i="1" a="1"/>
  <c r="X33" i="1" s="1"/>
  <c r="S33" i="1" a="1"/>
  <c r="S33" i="1" s="1"/>
  <c r="N33" i="1" a="1"/>
  <c r="N33" i="1" s="1"/>
  <c r="I33" i="1" a="1"/>
  <c r="I33" i="1" s="1"/>
  <c r="AC32" i="1" a="1"/>
  <c r="AC32" i="1" s="1"/>
  <c r="X32" i="1" a="1"/>
  <c r="X32" i="1" s="1"/>
  <c r="S32" i="1" a="1"/>
  <c r="S32" i="1" s="1"/>
  <c r="N32" i="1" a="1"/>
  <c r="N32" i="1" s="1"/>
  <c r="I32" i="1" a="1"/>
  <c r="I32" i="1" s="1"/>
  <c r="AC31" i="1" a="1"/>
  <c r="AC31" i="1" s="1"/>
  <c r="X31" i="1" a="1"/>
  <c r="X31" i="1" s="1"/>
  <c r="S31" i="1" a="1"/>
  <c r="S31" i="1" s="1"/>
  <c r="N31" i="1" a="1"/>
  <c r="N31" i="1" s="1"/>
  <c r="I31" i="1" a="1"/>
  <c r="I31" i="1" s="1"/>
  <c r="AC30" i="1" a="1"/>
  <c r="AC30" i="1" s="1"/>
  <c r="X30" i="1" a="1"/>
  <c r="X30" i="1" s="1"/>
  <c r="S30" i="1" a="1"/>
  <c r="S30" i="1" s="1"/>
  <c r="N30" i="1" a="1"/>
  <c r="N30" i="1" s="1"/>
  <c r="I30" i="1" a="1"/>
  <c r="I30" i="1" s="1"/>
  <c r="AC29" i="1" a="1"/>
  <c r="AC29" i="1" s="1"/>
  <c r="X29" i="1" a="1"/>
  <c r="X29" i="1" s="1"/>
  <c r="S29" i="1" a="1"/>
  <c r="S29" i="1" s="1"/>
  <c r="N29" i="1" a="1"/>
  <c r="N29" i="1" s="1"/>
  <c r="I29" i="1" a="1"/>
  <c r="I29" i="1" s="1"/>
  <c r="AC28" i="1" a="1"/>
  <c r="AC28" i="1" s="1"/>
  <c r="X28" i="1" a="1"/>
  <c r="X28" i="1" s="1"/>
  <c r="S28" i="1" a="1"/>
  <c r="S28" i="1" s="1"/>
  <c r="N28" i="1" a="1"/>
  <c r="N28" i="1" s="1"/>
  <c r="I28" i="1" a="1"/>
  <c r="I28" i="1" s="1"/>
  <c r="AE27" i="1"/>
  <c r="AC27" i="1"/>
  <c r="Z27" i="1"/>
  <c r="X27" i="1"/>
  <c r="U27" i="1"/>
  <c r="S27" i="1"/>
  <c r="P27" i="1"/>
  <c r="N27" i="1"/>
  <c r="K27" i="1"/>
  <c r="I27" i="1"/>
  <c r="E25" i="1"/>
  <c r="E24" i="1"/>
  <c r="T23" i="1"/>
  <c r="U23" i="1" s="1"/>
  <c r="E23" i="1"/>
  <c r="J23" i="1" s="1"/>
  <c r="K23" i="1" s="1"/>
  <c r="E22" i="1"/>
  <c r="T22" i="1" s="1"/>
  <c r="U22" i="1" s="1"/>
  <c r="E21" i="1"/>
  <c r="Y21" i="1" s="1"/>
  <c r="Z21" i="1" s="1"/>
  <c r="E20" i="1"/>
  <c r="T20" i="1" s="1"/>
  <c r="U20" i="1" s="1"/>
  <c r="E19" i="1"/>
  <c r="E18" i="1"/>
  <c r="E17" i="1"/>
  <c r="E16" i="1"/>
  <c r="E15" i="1"/>
  <c r="E14" i="1"/>
  <c r="AD14" i="1" s="1"/>
  <c r="AE14" i="1" s="1"/>
  <c r="E13" i="1"/>
  <c r="J13" i="1" s="1"/>
  <c r="K13" i="1" s="1"/>
  <c r="E12" i="1"/>
  <c r="E11" i="1"/>
  <c r="E10" i="1"/>
  <c r="E9" i="1"/>
  <c r="E8" i="1"/>
  <c r="Y8" i="1" s="1"/>
  <c r="Z8" i="1" s="1"/>
  <c r="E7" i="1"/>
  <c r="F24" i="1"/>
  <c r="F18" i="1"/>
  <c r="F10" i="1"/>
  <c r="F16" i="1"/>
  <c r="G27" i="1"/>
  <c r="F23" i="1"/>
  <c r="F9" i="1"/>
  <c r="F19" i="1"/>
  <c r="F15" i="1"/>
  <c r="F7" i="1"/>
  <c r="F11" i="1"/>
  <c r="F17" i="1"/>
  <c r="F25" i="1"/>
  <c r="F12" i="1"/>
  <c r="J21" i="1" l="1"/>
  <c r="O21" i="1"/>
  <c r="P21" i="1" s="1"/>
  <c r="T13" i="1"/>
  <c r="T21" i="1"/>
  <c r="U21" i="1" s="1"/>
  <c r="Y13" i="1"/>
  <c r="Z13" i="1" s="1"/>
  <c r="G17" i="1"/>
  <c r="G7" i="1"/>
  <c r="G16" i="1"/>
  <c r="G24" i="1"/>
  <c r="G9" i="1"/>
  <c r="G11" i="1"/>
  <c r="G18" i="1"/>
  <c r="G25" i="1"/>
  <c r="G12" i="1"/>
  <c r="G19" i="1"/>
  <c r="G15" i="1"/>
  <c r="G23" i="1"/>
  <c r="G10" i="1"/>
  <c r="AD8" i="1"/>
  <c r="AE8" i="1" s="1"/>
  <c r="Y20" i="1"/>
  <c r="Z20" i="1" s="1"/>
  <c r="AD22" i="1"/>
  <c r="AE22" i="1" s="1"/>
  <c r="J14" i="1"/>
  <c r="AD20" i="1"/>
  <c r="AE20" i="1" s="1"/>
  <c r="J8" i="1"/>
  <c r="O14" i="1"/>
  <c r="P14" i="1" s="1"/>
  <c r="O8" i="1"/>
  <c r="P8" i="1" s="1"/>
  <c r="T14" i="1"/>
  <c r="U14" i="1" s="1"/>
  <c r="J20" i="1"/>
  <c r="J22" i="1"/>
  <c r="T8" i="1"/>
  <c r="U8" i="1" s="1"/>
  <c r="Y14" i="1"/>
  <c r="Z14" i="1" s="1"/>
  <c r="O20" i="1"/>
  <c r="P20" i="1" s="1"/>
  <c r="O22" i="1"/>
  <c r="P22" i="1" s="1"/>
  <c r="F21" i="1"/>
  <c r="F13" i="1"/>
  <c r="F20" i="1"/>
  <c r="F8" i="1"/>
  <c r="F22" i="1"/>
  <c r="F14" i="1"/>
  <c r="G13" i="1" l="1"/>
  <c r="G21" i="1"/>
  <c r="Z3" i="1"/>
  <c r="U13" i="1"/>
  <c r="U3" i="1" s="1"/>
  <c r="K21" i="1"/>
  <c r="G14" i="1"/>
  <c r="G22" i="1"/>
  <c r="G8" i="1"/>
  <c r="G20" i="1"/>
  <c r="K14" i="1"/>
  <c r="AE3" i="1"/>
  <c r="K22" i="1"/>
  <c r="K8" i="1"/>
  <c r="P3" i="1"/>
  <c r="K20" i="1"/>
  <c r="G3" i="1" l="1"/>
  <c r="G2" i="1" s="1"/>
  <c r="K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 shapeId="0" xr:uid="{00000000-0006-0000-0000-000003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 shapeId="0" xr:uid="{00000000-0006-0000-0000-000004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 shapeId="0" xr:uid="{00000000-0006-0000-0000-000005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 shapeId="0" xr:uid="{00000000-0006-0000-0000-000006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7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8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9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 shapeId="0" xr:uid="{00000000-0006-0000-0000-00000A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 shapeId="0" xr:uid="{00000000-0006-0000-0000-00000B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 shapeId="0" xr:uid="{00000000-0006-0000-0000-00000C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 shapeId="0" xr:uid="{00000000-0006-0000-0000-00000D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 shapeId="0" xr:uid="{00000000-0006-0000-0000-00000E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 shapeId="0" xr:uid="{00000000-0006-0000-0000-00000F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 shapeId="0" xr:uid="{00000000-0006-0000-0000-000010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 shapeId="0" xr:uid="{00000000-0006-0000-0000-000011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 shapeId="0" xr:uid="{00000000-0006-0000-0000-000012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 shapeId="0" xr:uid="{00000000-0006-0000-0000-000013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 shapeId="0" xr:uid="{00000000-0006-0000-0000-000014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 shapeId="0" xr:uid="{00000000-0006-0000-0000-000015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 shapeId="0" xr:uid="{00000000-0006-0000-0000-000016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 shapeId="0" xr:uid="{00000000-0006-0000-0000-000017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 shapeId="0" xr:uid="{00000000-0006-0000-0000-000018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 shapeId="0" xr:uid="{00000000-0006-0000-0000-000019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 shapeId="0" xr:uid="{00000000-0006-0000-0000-00001A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 shapeId="0" xr:uid="{00000000-0006-0000-0000-00001B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 shapeId="0" xr:uid="{00000000-0006-0000-0000-00001C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 shapeId="0" xr:uid="{00000000-0006-0000-0000-00001D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 shapeId="0" xr:uid="{00000000-0006-0000-0000-00001E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 shapeId="0" xr:uid="{00000000-0006-0000-0000-00001F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 shapeId="0" xr:uid="{00000000-0006-0000-0000-000020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 shapeId="0" xr:uid="{00000000-0006-0000-0000-000021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 shapeId="0" xr:uid="{00000000-0006-0000-0000-000022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 shapeId="0" xr:uid="{00000000-0006-0000-0000-000023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 shapeId="0" xr:uid="{00000000-0006-0000-0000-000024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 shapeId="0" xr:uid="{00000000-0006-0000-0000-000025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 shapeId="0" xr:uid="{00000000-0006-0000-0000-000026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J8" authorId="0" shapeId="0" xr:uid="{00000000-0006-0000-0000-00002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$0.60
    50   $0.03      $1.63
   100   $0.03      $2.67
   500   $0.02      $9.53
  1000   $0.01     $14.97
  4000   $0.01     $50.08
  8000   $0.01     $91.52
 20000   $0.01    $217.80
 40000   $0.01    $414.00
100000   $0.01    $749.00
200000   $0.01  $1,448.00
400000   $0.01  $2,724.00</t>
        </r>
      </text>
    </comment>
    <comment ref="O8" authorId="0" shapeId="0" xr:uid="{00000000-0006-0000-0000-000028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£0.07      £0.66
   100   £0.03      £3.31
   150   £0.03      £4.96
   500   £0.02     £12.40
  1000   £0.02     £22.10
  2000   £0.02     £39.60
  4000   £0.02     £72.40
 20000   £0.01    £284.00</t>
        </r>
      </text>
    </comment>
    <comment ref="T8" authorId="0" shapeId="0" xr:uid="{00000000-0006-0000-0000-00002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$0.49
   100   $0.02      $1.90
  1000   $0.02     $15.00
  4000   $0.01     $40.00
  8000   $0.01     $80.00</t>
        </r>
      </text>
    </comment>
    <comment ref="Y8" authorId="0" shapeId="0" xr:uid="{00000000-0006-0000-0000-00002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$0.10      $1.00
    25   $0.05      $1.22
    50   $0.03      $1.70
   100   $0.02      $1.90
   250   $0.02      $4.50
   500   $0.02      $8.00
  1000   $0.02     $15.00
  4000   $0.01     $48.00</t>
        </r>
      </text>
    </comment>
    <comment ref="AD8" authorId="0" shapeId="0" xr:uid="{00000000-0006-0000-0000-00002B000000}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£28.00</t>
        </r>
      </text>
    </comment>
    <comment ref="J13" authorId="0" shapeId="0" xr:uid="{00000000-0006-0000-0000-00002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$0.97      $0.97
     5   $0.94      $4.70
    10   $0.88      $8.79
    50   $0.73     $36.38
   100   $0.61     $60.64
   250   $0.59    $147.81
   500   $0.50    $250.14
  1000   $0.44    $439.64
  5000   $0.39  $1,970.80
 10000   $0.38  $3,790.00</t>
        </r>
      </text>
    </comment>
    <comment ref="T13" authorId="0" shapeId="0" xr:uid="{00000000-0006-0000-0000-00002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$1.06      $1.06
    10   $0.82      $8.17
   100   $0.68     $68.40
   250   $0.66    $166.00
   500   $0.56    $281.00
  1000   $0.49    $494.00</t>
        </r>
      </text>
    </comment>
    <comment ref="W13" authorId="0" shapeId="0" xr:uid="{00000000-0006-0000-0000-00002E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13" authorId="0" shapeId="0" xr:uid="{00000000-0006-0000-0000-00002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$0.40      $0.40
  5000   $0.38  $1,925.00
 10000   $0.38  $3,790.00</t>
        </r>
      </text>
    </comment>
    <comment ref="J14" authorId="0" shapeId="0" xr:uid="{00000000-0006-0000-0000-00003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$0.76
    25   $0.07      $1.73
    50   $0.06      $3.11
   100   $0.05      $4.55
   250   $0.03      $8.28
   500   $0.03     $15.18
  1000   $0.03     $26.22
  4000   $0.02     $88.32
  8000   $0.02    $160.08
 12000   $0.02    $231.84
 28000   $0.02    $502.32
100000   $0.02  $1,773.00</t>
        </r>
      </text>
    </comment>
    <comment ref="O14" authorId="0" shapeId="0" xr:uid="{00000000-0006-0000-0000-000031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£0.50
   100   £0.03      £3.23
   150   £0.03      £4.85
   500   £0.02     £12.25
  1000   £0.02     £19.40
  2000   £0.02     £36.40
  4000   £0.01     £57.60
 20000   £0.01    £254.00</t>
        </r>
      </text>
    </comment>
    <comment ref="T14" authorId="0" shapeId="0" xr:uid="{00000000-0006-0000-0000-00003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$0.50
   100   $0.03      $3.40
   500   $0.03     $14.00
  1000   $0.02     $24.00
  4000   $0.02     $84.00</t>
        </r>
      </text>
    </comment>
    <comment ref="Y14" authorId="0" shapeId="0" xr:uid="{00000000-0006-0000-0000-00003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$0.50
    25   $0.04      $1.12
    50   $0.04      $1.95
   100   $0.03      $3.40
   250   $0.03      $7.75
   500   $0.03     $14.00
  1000   $0.02     $24.00</t>
        </r>
      </text>
    </comment>
    <comment ref="AD14" authorId="0" shapeId="0" xr:uid="{00000000-0006-0000-0000-000034000000}">
      <text>
        <r>
          <rPr>
            <sz val="8"/>
            <color indexed="81"/>
            <rFont val="Tahoma"/>
            <family val="2"/>
          </rPr>
          <t>Qty/Price Breaks (GBP):
  Qty  -  Unit£  -  Ext£
================
    25   £0.04      £0.95
   500   £0.03     £16.00
  1000   £0.03     £28.00
  2500   £0.02     £60.00
  5000   £0.02    £110.00</t>
        </r>
      </text>
    </comment>
    <comment ref="J20" authorId="0" shapeId="0" xr:uid="{00000000-0006-0000-0000-00003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$0.36      $3.62
   100   $0.26     $25.85
   500   $0.20     $98.23
  1000   $0.16    $155.10
  3000   $0.15    $449.79
  6000   $0.14    $868.56
  9000   $0.14  $1,256.31
 30000   $0.13  $3,970.50
 75000   $0.13  $9,693.75</t>
        </r>
      </text>
    </comment>
    <comment ref="O20" authorId="0" shapeId="0" xr:uid="{00000000-0006-0000-0000-000036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£0.32      £1.62
    50   £0.29     £14.50
   100   £0.20     £20.20
   150   £0.20     £30.30
   500   £0.18     £87.50
  1500   £0.15    £222.00
  3000   £0.11    £333.00
  9000   £0.10    £936.00</t>
        </r>
      </text>
    </comment>
    <comment ref="T20" authorId="0" shapeId="0" xr:uid="{00000000-0006-0000-0000-00003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$0.36      $3.61
   100   $0.26     $25.50
   500   $0.21    $104.50
  1000   $0.17    $170.00
  3000   $0.14    $432.00</t>
        </r>
      </text>
    </comment>
    <comment ref="Y20" authorId="0" shapeId="0" xr:uid="{00000000-0006-0000-0000-00003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$0.42      $4.16
    25   $0.37      $9.15
    50   $0.32     $15.90
   100   $0.27     $26.90
   250   $0.25     $63.00
   500   $0.23    $116.50
  1000   $0.22    $222.00
  3000   $0.12    $369.00
  6000   $0.12    $720.00
 12000   $0.10  $1,260.00
 18000   $0.10  $1,710.00
 30000   $0.08  $2,460.00</t>
        </r>
      </text>
    </comment>
    <comment ref="AD20" authorId="0" shapeId="0" xr:uid="{00000000-0006-0000-0000-000039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£0.28      £2.81
    50   £0.26     £13.20
   100   £0.25     £25.00
   250   £0.24     £59.00
   500   £0.22    £112.50</t>
        </r>
      </text>
    </comment>
    <comment ref="J21" authorId="0" shapeId="0" xr:uid="{00000000-0006-0000-0000-00003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$4.50      $4.50
    10   $4.05     $40.50
    50   $3.85    $192.50
   100   $3.65    $365.00
   250   $3.25    $812.50
   500   $2.85  $1,425.01
  1000   $2.65  $2,650.00
  2000   $2.65  $5,300.02</t>
        </r>
      </text>
    </comment>
    <comment ref="O21" authorId="0" shapeId="0" xr:uid="{00000000-0006-0000-0000-00003B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£3.49      £3.49
    10   £3.14     £31.40
    50   £2.99    £149.50
   100   £2.84    £284.00
   250   £2.53    £632.50
   500   £2.21  £1,105.00
  1000   £2.06  £2,060.00
  2000   £2.02  £4,040.00</t>
        </r>
      </text>
    </comment>
    <comment ref="T21" authorId="0" shapeId="0" xr:uid="{00000000-0006-0000-0000-00003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$4.50      $4.50
    10   $4.05     $40.50
    50   $3.85    $192.50
   100   $3.65    $365.00
   250   $3.25    $812.50
   500   $2.85  $1,425.00</t>
        </r>
      </text>
    </comment>
    <comment ref="Y21" authorId="0" shapeId="0" xr:uid="{00000000-0006-0000-0000-00003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$4.51      $4.51
    10   $4.05     $40.50
    50   $3.86    $193.00
   100   $3.67    $367.00
   250   $3.27    $817.50
   500   $2.85  $1,425.00
  1000   $2.66  $2,660.00
  2000   $2.61  $5,220.00</t>
        </r>
      </text>
    </comment>
    <comment ref="J22" authorId="0" shapeId="0" xr:uid="{00000000-0006-0000-0000-00003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$2.76      $2.76
    10   $2.48     $24.75
    25   $2.34     $58.50
   100   $1.92    $192.40
   250   $1.73    $431.60
   500   $1.66    $832.00
  1000   $1.51  $1,508.00</t>
        </r>
      </text>
    </comment>
    <comment ref="O22" authorId="0" shapeId="0" xr:uid="{00000000-0006-0000-0000-00003F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£2.37      £2.37
    10   £1.88     £18.80
    25   £1.77     £44.25
    50   £1.62     £81.00
   100   £1.47    £147.00
   250   £1.31    £327.50
   500   £1.27    £635.00</t>
        </r>
      </text>
    </comment>
    <comment ref="R22" authorId="0" shapeId="0" xr:uid="{00000000-0006-0000-0000-000040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22" authorId="0" shapeId="0" xr:uid="{00000000-0006-0000-0000-00004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$2.75      $2.75
    10   $2.47     $24.70
    25   $2.33     $58.25
   100   $1.92    $192.00
   250   $1.72    $430.00
   500   $1.66    $830.00</t>
        </r>
      </text>
    </comment>
    <comment ref="AD22" authorId="0" shapeId="0" xr:uid="{00000000-0006-0000-0000-000042000000}">
      <text>
        <r>
          <rPr>
            <sz val="8"/>
            <color indexed="81"/>
            <rFont val="Tahoma"/>
            <family val="2"/>
          </rPr>
          <t>Qty/Price Breaks (GBP):
  Qty  -  Unit£  -  Ext£
================
  1000   £1.19  £1,194.00</t>
        </r>
      </text>
    </comment>
    <comment ref="H23" authorId="0" shapeId="0" xr:uid="{00000000-0006-0000-0000-000043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3" authorId="0" shapeId="0" xr:uid="{00000000-0006-0000-0000-00004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$2.76      $2.76
    10   $2.48     $24.75
    25   $2.34     $58.50
   100   $1.92    $192.40
   250   $1.73    $431.60
   500   $1.66    $832.00
  1000   $1.51  $1,508.00</t>
        </r>
      </text>
    </comment>
    <comment ref="T23" authorId="0" shapeId="0" xr:uid="{00000000-0006-0000-0000-00004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$2.75      $2.75
    10   $2.47     $24.70
    25   $2.33     $58.25
   100   $1.92    $192.00
   250   $1.72    $430.00
   500   $1.66    $830.00</t>
        </r>
      </text>
    </comment>
    <comment ref="F27" authorId="0" shapeId="0" xr:uid="{00000000-0006-0000-0000-000046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7" authorId="0" shapeId="0" xr:uid="{00000000-0006-0000-0000-000047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27" authorId="0" shapeId="0" xr:uid="{00000000-0006-0000-0000-000048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27" authorId="0" shapeId="0" xr:uid="{00000000-0006-0000-0000-000049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27" authorId="0" shapeId="0" xr:uid="{00000000-0006-0000-0000-00004A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27" authorId="0" shapeId="0" xr:uid="{00000000-0006-0000-0000-00004B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28" authorId="0" shapeId="0" xr:uid="{00000000-0006-0000-0000-00004C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<sst xmlns="http://schemas.openxmlformats.org/spreadsheetml/2006/main" count="161" uniqueCount="127">
  <si>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</si>
  <si>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</si>
  <si>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</si>
  <si>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</si>
  <si>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</si>
  <si>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</si>
  <si>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</si>
  <si>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</si>
  <si>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C4,C7,C11</t>
  </si>
  <si>
    <t>4.7 uF</t>
  </si>
  <si>
    <t>Capacitor_SMD:C_1206_3216Metric_Pad1.42x1.75mm_HandSolder</t>
  </si>
  <si>
    <t>1206B475K500NT</t>
  </si>
  <si>
    <t>C1-C3,C5,C6,C8-C10</t>
  </si>
  <si>
    <t>100 nF</t>
  </si>
  <si>
    <t>Capacitor_SMD:C_0603_1608Metric_Pad1.05x0.95mm_HandSolder</t>
  </si>
  <si>
    <t>CC0603KRX7R9BB104</t>
  </si>
  <si>
    <t>D1</t>
  </si>
  <si>
    <t>LED_P_A</t>
  </si>
  <si>
    <t>LED_SMD:LED_0603_1608Metric_Pad1.05x0.95mm_HandSolder</t>
  </si>
  <si>
    <t>KT-0603R</t>
  </si>
  <si>
    <t>D2</t>
  </si>
  <si>
    <t>LED_P_B</t>
  </si>
  <si>
    <t>D3</t>
  </si>
  <si>
    <t>LED_Rx</t>
  </si>
  <si>
    <t>D4</t>
  </si>
  <si>
    <t>LED_Tx</t>
  </si>
  <si>
    <t>F1-F3</t>
  </si>
  <si>
    <t>150 mA</t>
  </si>
  <si>
    <t>Fuse:Fuse_0603_1608Metric_Pad1.05x0.95mm_HandSolder</t>
  </si>
  <si>
    <t>0467.250NRHF</t>
  </si>
  <si>
    <t>FB1</t>
  </si>
  <si>
    <t>120 @ 100 Mhz</t>
  </si>
  <si>
    <t>Inductor_SMD:L_0805_2012Metric_Pad1.15x1.40mm_HandSolder</t>
  </si>
  <si>
    <t>BLM18PG121SN1D</t>
  </si>
  <si>
    <t>J1</t>
  </si>
  <si>
    <t>USB_B</t>
  </si>
  <si>
    <t>Connector_USB:USB_B_OST_USB-B1HSxx_Horizontal</t>
  </si>
  <si>
    <t>C189733</t>
  </si>
  <si>
    <t>J2</t>
  </si>
  <si>
    <t>UART</t>
  </si>
  <si>
    <t>Connector_JST:JST_XH_B7B-XH-A_1x07_P2.50mm_Vertical_noCourtyard</t>
  </si>
  <si>
    <t>C169003</t>
  </si>
  <si>
    <t>R5</t>
  </si>
  <si>
    <t>10k</t>
  </si>
  <si>
    <t>Resistor_SMD:R_0603_1608Metric_Pad1.05x0.95mm_HandSolder</t>
  </si>
  <si>
    <t>0603WAF1002T5E</t>
  </si>
  <si>
    <t>R1-R4</t>
  </si>
  <si>
    <t>3.3k</t>
  </si>
  <si>
    <t>0603WAF3301T5E</t>
  </si>
  <si>
    <t>R6-R9</t>
  </si>
  <si>
    <t>200</t>
  </si>
  <si>
    <t>0603WAF2000T5E</t>
  </si>
  <si>
    <t>U1</t>
  </si>
  <si>
    <t>USBLC6-2SC6</t>
  </si>
  <si>
    <t>Package_TO_SOT_SMD:SOT-23-6</t>
  </si>
  <si>
    <t>U2</t>
  </si>
  <si>
    <t>FT232RL</t>
  </si>
  <si>
    <t>Package_SO:SSOP-28_5.3x10.2mm_P0.65mm</t>
  </si>
  <si>
    <t>FT232RL-REEL</t>
  </si>
  <si>
    <t>U3</t>
  </si>
  <si>
    <t>ADuM1201AR</t>
  </si>
  <si>
    <t>Package_SO:SOIC-8_3.9x4.9mm_P1.27mm</t>
  </si>
  <si>
    <t>ADUM1201ARZ-RL7</t>
  </si>
  <si>
    <t>U4</t>
  </si>
  <si>
    <t>ADuM1200AR</t>
  </si>
  <si>
    <t>ADuM1200ARZ-RL7</t>
  </si>
  <si>
    <t>U5</t>
  </si>
  <si>
    <t>NUP4202</t>
  </si>
  <si>
    <t>Package_TO_SOT_SMD:SOT-363_SC-70-6</t>
  </si>
  <si>
    <t>NUP4202W1</t>
  </si>
  <si>
    <t>U6</t>
  </si>
  <si>
    <t>HT7550-1-SOT89</t>
  </si>
  <si>
    <t>Package_TO_SOT_SMD:SOT-89-3</t>
  </si>
  <si>
    <t>HT7550-1</t>
  </si>
  <si>
    <t>Total Purchase:</t>
  </si>
  <si>
    <t>Purchase description:</t>
  </si>
  <si>
    <t>Used currency rates:</t>
  </si>
  <si>
    <t>USD($)/GBP(£):</t>
  </si>
  <si>
    <t>Prj:</t>
  </si>
  <si>
    <t>Isolated UART to USB converter</t>
  </si>
  <si>
    <t>Co.:</t>
  </si>
  <si>
    <t>Claudio Arena</t>
  </si>
  <si>
    <t>Prj date:</t>
  </si>
  <si>
    <t>20/10/2020 19:43:25</t>
  </si>
  <si>
    <t>Board Qty:</t>
  </si>
  <si>
    <t>Total Cost:</t>
  </si>
  <si>
    <t>Unit Cost:</t>
  </si>
  <si>
    <t>$ date:</t>
  </si>
  <si>
    <t>2020-10-20 19:43:43</t>
  </si>
  <si>
    <t>Digi-Key</t>
  </si>
  <si>
    <t>Avail</t>
  </si>
  <si>
    <t>Purch</t>
  </si>
  <si>
    <t>Cat#</t>
  </si>
  <si>
    <t>311-1344-6-ND</t>
  </si>
  <si>
    <t>F6020CT-ND</t>
  </si>
  <si>
    <t>490-1037-6-ND</t>
  </si>
  <si>
    <t>497-5235-1-ND</t>
  </si>
  <si>
    <t>768-1007-1-ND</t>
  </si>
  <si>
    <t>ADUM1201ARZ-RL7CT-ND</t>
  </si>
  <si>
    <t>ADUM1200ARZ-RL7DKR-ND</t>
  </si>
  <si>
    <t>NonStk</t>
  </si>
  <si>
    <t>Farnell</t>
  </si>
  <si>
    <t>1362556</t>
  </si>
  <si>
    <t>1515738</t>
  </si>
  <si>
    <t>1269406</t>
  </si>
  <si>
    <t>1146032</t>
  </si>
  <si>
    <t>2758721</t>
  </si>
  <si>
    <t>Mouser</t>
  </si>
  <si>
    <t>603CC603KRX7R9BB104</t>
  </si>
  <si>
    <t>5760467.250NRHF</t>
  </si>
  <si>
    <t>81BLM18PG121SN1D</t>
  </si>
  <si>
    <t>511USBLC62SC6</t>
  </si>
  <si>
    <t>895FT232RL</t>
  </si>
  <si>
    <t>584ADUM1201ARZR7</t>
  </si>
  <si>
    <t>584ADUM1200ARZR7</t>
  </si>
  <si>
    <t>Newark</t>
  </si>
  <si>
    <t>50M6494</t>
  </si>
  <si>
    <t>01P9366</t>
  </si>
  <si>
    <t>73M9109</t>
  </si>
  <si>
    <t>26M4748</t>
  </si>
  <si>
    <t>91K9918</t>
  </si>
  <si>
    <t>Rs Components</t>
  </si>
  <si>
    <t>6698767</t>
  </si>
  <si>
    <t>7241380</t>
  </si>
  <si>
    <t>6247693</t>
  </si>
  <si>
    <t>1832299</t>
  </si>
  <si>
    <t>KiCost® v.1.1.2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</si>
</sst>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1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23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.com/click/track?ai=8078&amp;sig=04b7adc&amp;sid=10022&amp;ppid=113392&amp;vpid=199071096&amp;ct=offers" TargetMode="External"/><Relationship Id="rId18" Type="http://schemas.openxmlformats.org/officeDocument/2006/relationships/hyperlink" Target="https://octopart.com/click/track?ai=8078&amp;sig=04f8aa3&amp;sid=2402&amp;ppid=39666276&amp;vpid=115404199&amp;ct=offers" TargetMode="External"/><Relationship Id="rId26" Type="http://schemas.openxmlformats.org/officeDocument/2006/relationships/hyperlink" Target="https://octopart.com/click/track?ai=8078&amp;sig=01c44f0&amp;sid=459&amp;ppid=46510928&amp;vpid=116164659&amp;ct=offers" TargetMode="External"/><Relationship Id="rId3" Type="http://schemas.openxmlformats.org/officeDocument/2006/relationships/hyperlink" Target="https://octopart.com/click/track?ai=8078&amp;sig=0890135&amp;sid=2401&amp;ppid=42244635&amp;vpid=115540542&amp;ct=offers" TargetMode="External"/><Relationship Id="rId21" Type="http://schemas.openxmlformats.org/officeDocument/2006/relationships/hyperlink" Target="https://octopart.com/click/track?ai=8078&amp;sig=015100a&amp;sid=459&amp;ppid=19172117&amp;vpid=34427626&amp;ct=offers" TargetMode="External"/><Relationship Id="rId34" Type="http://schemas.openxmlformats.org/officeDocument/2006/relationships/hyperlink" Target="https://www.holtek.com/documents/10179/116711/HT75xx-1v250.pdf" TargetMode="External"/><Relationship Id="rId7" Type="http://schemas.openxmlformats.org/officeDocument/2006/relationships/hyperlink" Target="https://octopart.com/click/track?ai=8078&amp;sig=044456b&amp;sid=2401&amp;ppid=19027791&amp;vpid=165378866&amp;ct=offers" TargetMode="External"/><Relationship Id="rId12" Type="http://schemas.openxmlformats.org/officeDocument/2006/relationships/hyperlink" Target="https://octopart.com/click/track?ai=8078&amp;sig=09b0674&amp;sid=2402&amp;ppid=113392&amp;vpid=11715015&amp;ct=offers" TargetMode="External"/><Relationship Id="rId17" Type="http://schemas.openxmlformats.org/officeDocument/2006/relationships/hyperlink" Target="https://octopart.com/click/track?ai=8078&amp;sig=0034b59&amp;sid=2401&amp;ppid=39666276&amp;vpid=114826772&amp;ct=offers" TargetMode="External"/><Relationship Id="rId25" Type="http://schemas.openxmlformats.org/officeDocument/2006/relationships/hyperlink" Target="https://www.analog.com/media/en/technical-documentation/data-sheets/ADuM1200_1201.pdf" TargetMode="External"/><Relationship Id="rId33" Type="http://schemas.openxmlformats.org/officeDocument/2006/relationships/hyperlink" Target="http://www.onsemi.com/pub_link/Collateral/NUP4202W1-D.PDF" TargetMode="External"/><Relationship Id="rId2" Type="http://schemas.openxmlformats.org/officeDocument/2006/relationships/hyperlink" Target="https://octopart.com/click/track?ai=8078&amp;sig=0759d33&amp;sid=11744&amp;ppid=42244635&amp;vpid=482462222&amp;ct=offers" TargetMode="External"/><Relationship Id="rId16" Type="http://schemas.openxmlformats.org/officeDocument/2006/relationships/hyperlink" Target="https://octopart.com/click/track?ai=8078&amp;sig=0d0b9f5&amp;sid=11744&amp;ppid=39666276&amp;vpid=132628314&amp;ct=offers" TargetMode="External"/><Relationship Id="rId20" Type="http://schemas.openxmlformats.org/officeDocument/2006/relationships/hyperlink" Target="https://www.ftdichip.com/Support/Documents/DataSheets/ICs/DS_FT232R.pdf" TargetMode="External"/><Relationship Id="rId29" Type="http://schemas.openxmlformats.org/officeDocument/2006/relationships/hyperlink" Target="https://octopart.com/click/track?ai=8078&amp;sig=0162906&amp;sid=10022&amp;ppid=46510928&amp;vpid=529867967&amp;ct=offers" TargetMode="External"/><Relationship Id="rId1" Type="http://schemas.openxmlformats.org/officeDocument/2006/relationships/hyperlink" Target="https://octopart.com/click/track?ai=8078&amp;sig=01950bf&amp;sid=459&amp;ppid=42244635&amp;vpid=115141232&amp;ct=offers" TargetMode="External"/><Relationship Id="rId6" Type="http://schemas.openxmlformats.org/officeDocument/2006/relationships/hyperlink" Target="https://octopart.com/click/track?ai=8078&amp;sig=045b53f&amp;sid=459&amp;ppid=19027791&amp;vpid=78261016&amp;ct=offers" TargetMode="External"/><Relationship Id="rId11" Type="http://schemas.openxmlformats.org/officeDocument/2006/relationships/hyperlink" Target="https://octopart.com/click/track?ai=8078&amp;sig=07ea54d&amp;sid=2401&amp;ppid=113392&amp;vpid=37644559&amp;ct=offers" TargetMode="External"/><Relationship Id="rId24" Type="http://schemas.openxmlformats.org/officeDocument/2006/relationships/hyperlink" Target="https://octopart.com/click/track?ai=8078&amp;sig=0a2d49e&amp;sid=2402&amp;ppid=19172117&amp;vpid=230065564&amp;ct=offers" TargetMode="External"/><Relationship Id="rId32" Type="http://schemas.openxmlformats.org/officeDocument/2006/relationships/hyperlink" Target="https://octopart.com/click/track?ai=8078&amp;sig=07763ec&amp;sid=2401&amp;ppid=446143&amp;vpid=76857573&amp;ct=offers" TargetMode="External"/><Relationship Id="rId5" Type="http://schemas.openxmlformats.org/officeDocument/2006/relationships/hyperlink" Target="https://octopart.com/click/track?ai=8078&amp;sig=01fcc60&amp;sid=10022&amp;ppid=42244635&amp;vpid=199200276&amp;ct=offers" TargetMode="External"/><Relationship Id="rId15" Type="http://schemas.openxmlformats.org/officeDocument/2006/relationships/hyperlink" Target="https://octopart.com/click/track?ai=8078&amp;sig=0835e8c&amp;sid=459&amp;ppid=39666276&amp;vpid=114965315&amp;ct=offers" TargetMode="External"/><Relationship Id="rId23" Type="http://schemas.openxmlformats.org/officeDocument/2006/relationships/hyperlink" Target="https://octopart.com/click/track?ai=8078&amp;sig=0daa406&amp;sid=2401&amp;ppid=19172117&amp;vpid=37695958&amp;ct=offers" TargetMode="External"/><Relationship Id="rId28" Type="http://schemas.openxmlformats.org/officeDocument/2006/relationships/hyperlink" Target="https://octopart.com/click/track?c=1&amp;ai=8078&amp;sig=028060c&amp;sid=2401&amp;ppid=46510928&amp;vpid=118370943&amp;ct=offers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s://octopart.com/click/track?ai=8078&amp;sig=0583948&amp;sid=11744&amp;ppid=113392&amp;vpid=132490417&amp;ct=offers" TargetMode="External"/><Relationship Id="rId19" Type="http://schemas.openxmlformats.org/officeDocument/2006/relationships/hyperlink" Target="https://octopart.com/click/track?ai=8078&amp;sig=0bfd137&amp;sid=10022&amp;ppid=39666276&amp;vpid=199120785&amp;ct=offers" TargetMode="External"/><Relationship Id="rId31" Type="http://schemas.openxmlformats.org/officeDocument/2006/relationships/hyperlink" Target="https://octopart.com/click/track?c=1&amp;ai=8078&amp;sig=0315d5f&amp;sid=459&amp;ppid=446143&amp;vpid=34203431&amp;ct=offers" TargetMode="External"/><Relationship Id="rId4" Type="http://schemas.openxmlformats.org/officeDocument/2006/relationships/hyperlink" Target="https://octopart.com/click/track?ai=8078&amp;sig=0f50bae&amp;sid=2402&amp;ppid=42244635&amp;vpid=115423539&amp;ct=offers" TargetMode="External"/><Relationship Id="rId9" Type="http://schemas.openxmlformats.org/officeDocument/2006/relationships/hyperlink" Target="https://octopart.com/click/track?ai=8078&amp;sig=06f3dbc&amp;sid=459&amp;ppid=113392&amp;vpid=34230912&amp;ct=offers" TargetMode="External"/><Relationship Id="rId14" Type="http://schemas.openxmlformats.org/officeDocument/2006/relationships/hyperlink" Target="https://www.st.com/resource/en/datasheet/usblc6-2.pdf" TargetMode="External"/><Relationship Id="rId22" Type="http://schemas.openxmlformats.org/officeDocument/2006/relationships/hyperlink" Target="https://octopart.com/click/track?ai=8078&amp;sig=0158214&amp;sid=11744&amp;ppid=19172117&amp;vpid=237127390&amp;ct=offers" TargetMode="External"/><Relationship Id="rId27" Type="http://schemas.openxmlformats.org/officeDocument/2006/relationships/hyperlink" Target="https://octopart.com/click/track?ai=8078&amp;sig=09fb362&amp;sid=11744&amp;ppid=46510928&amp;vpid=436904034&amp;ct=offers" TargetMode="External"/><Relationship Id="rId30" Type="http://schemas.openxmlformats.org/officeDocument/2006/relationships/hyperlink" Target="https://www.analog.com/media/en/technical-documentation/data-sheets/ADuM1200_1201.pdf" TargetMode="External"/><Relationship Id="rId35" Type="http://schemas.openxmlformats.org/officeDocument/2006/relationships/vmlDrawing" Target="../drawings/vmlDrawing1.vml"/><Relationship Id="rId8" Type="http://schemas.openxmlformats.org/officeDocument/2006/relationships/hyperlink" Target="https://octopart.com/click/track?c=1&amp;ai=8078&amp;sig=08c00e5&amp;sid=2402&amp;ppid=19027791&amp;vpid=172868662&amp;ct=off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Z22" sqref="Z22"/>
    </sheetView>
  </sheetViews>
  <sheetFormatPr defaultRowHeight="15" outlineLevelCol="2" x14ac:dyDescent="0.25"/>
  <cols>
    <col min="1" max="1" width="26.7109375" customWidth="1"/>
    <col min="3" max="3" width="9.140625" hidden="1" customWidth="1" outlineLevel="2"/>
    <col min="4" max="4" width="9.140625" customWidth="1" outlineLevel="1" collapsed="1"/>
    <col min="5" max="5" width="9.140625" customWidth="1" outlineLevel="1"/>
    <col min="7" max="7" width="15.7109375" customWidth="1"/>
    <col min="8" max="8" width="9.140625" hidden="1" customWidth="1" outlineLevel="1"/>
    <col min="9" max="10" width="9.140625" hidden="1" customWidth="1" outlineLevel="2"/>
    <col min="11" max="11" width="15.7109375" customWidth="1" collapsed="1"/>
    <col min="12" max="12" width="15.7109375" hidden="1" customWidth="1" outlineLevel="2"/>
    <col min="13" max="13" width="0" hidden="1" customWidth="1" outlineLevel="1" collapsed="1"/>
    <col min="14" max="15" width="0" hidden="1" customWidth="1" outlineLevel="2"/>
    <col min="16" max="16" width="15.7109375" customWidth="1" collapsed="1"/>
    <col min="17" max="17" width="15.7109375" hidden="1" customWidth="1" outlineLevel="2"/>
    <col min="18" max="18" width="0" hidden="1" customWidth="1" outlineLevel="1" collapsed="1"/>
    <col min="19" max="20" width="0" hidden="1" customWidth="1" outlineLevel="2"/>
    <col min="21" max="21" width="15.7109375" customWidth="1" collapsed="1"/>
    <col min="22" max="22" width="15.7109375" hidden="1" customWidth="1" outlineLevel="2"/>
    <col min="23" max="23" width="0" hidden="1" customWidth="1" outlineLevel="1" collapsed="1"/>
    <col min="24" max="25" width="0" hidden="1" customWidth="1" outlineLevel="2"/>
    <col min="26" max="26" width="15.7109375" customWidth="1" collapsed="1"/>
    <col min="27" max="27" width="15.7109375" hidden="1" customWidth="1" outlineLevel="2"/>
    <col min="28" max="28" width="0" hidden="1" customWidth="1" outlineLevel="1" collapsed="1"/>
    <col min="29" max="30" width="0" hidden="1" customWidth="1" outlineLevel="2"/>
    <col min="31" max="31" width="15.7109375" customWidth="1" collapsed="1"/>
    <col min="32" max="32" width="15.7109375" hidden="1" customWidth="1" outlineLevel="2"/>
    <col min="33" max="33" width="9.140625" collapsed="1"/>
  </cols>
  <sheetData>
    <row r="1" spans="1:32" ht="17.25" x14ac:dyDescent="0.3">
      <c r="A1" s="1" t="s">
        <v>78</v>
      </c>
      <c r="B1" s="2" t="s">
        <v>79</v>
      </c>
      <c r="F1" s="3" t="s">
        <v>84</v>
      </c>
      <c r="G1" s="3">
        <v>10</v>
      </c>
    </row>
    <row r="2" spans="1:32" ht="17.25" x14ac:dyDescent="0.25">
      <c r="A2" s="1" t="s">
        <v>80</v>
      </c>
      <c r="B2" s="2" t="s">
        <v>81</v>
      </c>
      <c r="F2" s="1" t="s">
        <v>86</v>
      </c>
      <c r="G2" s="4">
        <f ca="1">TotalCost/BoardQty</f>
        <v>9.5246114743011709</v>
      </c>
    </row>
    <row r="3" spans="1:32" ht="17.25" x14ac:dyDescent="0.25">
      <c r="A3" s="1" t="s">
        <v>82</v>
      </c>
      <c r="B3" s="2" t="s">
        <v>83</v>
      </c>
      <c r="F3" s="1" t="s">
        <v>85</v>
      </c>
      <c r="G3" s="5">
        <f ca="1">SUM(G7:G25)</f>
        <v>95.246114743011717</v>
      </c>
      <c r="K3" s="5">
        <f>SUM(K7:K25)</f>
        <v>123.358</v>
      </c>
      <c r="L3" s="6">
        <v>0</v>
      </c>
      <c r="P3" s="5">
        <f>SUM(P7:P25)</f>
        <v>73.807927412082947</v>
      </c>
      <c r="Q3" s="6">
        <v>0</v>
      </c>
      <c r="U3" s="5">
        <f>SUM(U7:U25)</f>
        <v>122.44</v>
      </c>
      <c r="V3" s="6">
        <v>0</v>
      </c>
      <c r="Z3" s="5">
        <f>SUM(Z7:Z25)</f>
        <v>59.760000000000005</v>
      </c>
      <c r="AA3" s="6">
        <v>0</v>
      </c>
      <c r="AE3" s="5">
        <f>SUM(AE7:AE25)</f>
        <v>19.547066050495943</v>
      </c>
      <c r="AF3" s="6">
        <v>0</v>
      </c>
    </row>
    <row r="4" spans="1:32" ht="17.25" x14ac:dyDescent="0.25">
      <c r="A4" s="1" t="s">
        <v>87</v>
      </c>
      <c r="B4" s="2" t="s">
        <v>88</v>
      </c>
    </row>
    <row r="5" spans="1:32" ht="18.75" x14ac:dyDescent="0.25">
      <c r="A5" s="13" t="s">
        <v>0</v>
      </c>
      <c r="B5" s="13"/>
      <c r="C5" s="13"/>
      <c r="D5" s="13"/>
      <c r="E5" s="13"/>
      <c r="F5" s="13"/>
      <c r="G5" s="13"/>
      <c r="H5" s="14" t="s">
        <v>89</v>
      </c>
      <c r="I5" s="14"/>
      <c r="J5" s="14"/>
      <c r="K5" s="14"/>
      <c r="L5" s="14"/>
      <c r="M5" s="15" t="s">
        <v>101</v>
      </c>
      <c r="N5" s="15"/>
      <c r="O5" s="15"/>
      <c r="P5" s="15"/>
      <c r="Q5" s="15"/>
      <c r="R5" s="16" t="s">
        <v>107</v>
      </c>
      <c r="S5" s="16"/>
      <c r="T5" s="16"/>
      <c r="U5" s="16"/>
      <c r="V5" s="16"/>
      <c r="W5" s="17" t="s">
        <v>115</v>
      </c>
      <c r="X5" s="17"/>
      <c r="Y5" s="17"/>
      <c r="Z5" s="17"/>
      <c r="AA5" s="17"/>
      <c r="AB5" s="18" t="s">
        <v>121</v>
      </c>
      <c r="AC5" s="18"/>
      <c r="AD5" s="18"/>
      <c r="AE5" s="18"/>
      <c r="AF5" s="18"/>
    </row>
    <row r="6" spans="1:32" ht="31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90</v>
      </c>
      <c r="I6" s="7" t="s">
        <v>91</v>
      </c>
      <c r="J6" s="7" t="s">
        <v>6</v>
      </c>
      <c r="K6" s="7" t="s">
        <v>7</v>
      </c>
      <c r="L6" s="7" t="s">
        <v>92</v>
      </c>
      <c r="M6" s="7" t="s">
        <v>90</v>
      </c>
      <c r="N6" s="7" t="s">
        <v>91</v>
      </c>
      <c r="O6" s="7" t="s">
        <v>6</v>
      </c>
      <c r="P6" s="7" t="s">
        <v>7</v>
      </c>
      <c r="Q6" s="7" t="s">
        <v>92</v>
      </c>
      <c r="R6" s="7" t="s">
        <v>90</v>
      </c>
      <c r="S6" s="7" t="s">
        <v>91</v>
      </c>
      <c r="T6" s="7" t="s">
        <v>6</v>
      </c>
      <c r="U6" s="7" t="s">
        <v>7</v>
      </c>
      <c r="V6" s="7" t="s">
        <v>92</v>
      </c>
      <c r="W6" s="7" t="s">
        <v>90</v>
      </c>
      <c r="X6" s="7" t="s">
        <v>91</v>
      </c>
      <c r="Y6" s="7" t="s">
        <v>6</v>
      </c>
      <c r="Z6" s="7" t="s">
        <v>7</v>
      </c>
      <c r="AA6" s="7" t="s">
        <v>92</v>
      </c>
      <c r="AB6" s="7" t="s">
        <v>90</v>
      </c>
      <c r="AC6" s="7" t="s">
        <v>91</v>
      </c>
      <c r="AD6" s="7" t="s">
        <v>6</v>
      </c>
      <c r="AE6" s="7" t="s">
        <v>7</v>
      </c>
      <c r="AF6" s="7" t="s">
        <v>92</v>
      </c>
    </row>
    <row r="7" spans="1:32" x14ac:dyDescent="0.25">
      <c r="A7" s="8" t="s">
        <v>8</v>
      </c>
      <c r="B7" s="8" t="s">
        <v>9</v>
      </c>
      <c r="C7" s="8" t="s">
        <v>10</v>
      </c>
      <c r="D7" s="8" t="s">
        <v>11</v>
      </c>
      <c r="E7" s="8">
        <f>BoardQty*3</f>
        <v>30</v>
      </c>
      <c r="F7" s="9">
        <f t="shared" ref="F7:F25" ca="1" si="0"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7" s="9">
        <f t="shared" ref="G7:G25" ca="1" si="1">IFERROR(E7*F7,"")</f>
        <v>0</v>
      </c>
    </row>
    <row r="8" spans="1:32" x14ac:dyDescent="0.25">
      <c r="A8" s="8" t="s">
        <v>12</v>
      </c>
      <c r="B8" s="8" t="s">
        <v>13</v>
      </c>
      <c r="C8" s="8" t="s">
        <v>14</v>
      </c>
      <c r="D8" s="8" t="s">
        <v>15</v>
      </c>
      <c r="E8" s="8">
        <f>BoardQty*8</f>
        <v>80</v>
      </c>
      <c r="F8" s="9">
        <f t="shared" ca="1" si="0"/>
        <v>8.7208070333633907E-3</v>
      </c>
      <c r="G8" s="9">
        <f t="shared" ca="1" si="1"/>
        <v>0.69766456266907129</v>
      </c>
      <c r="H8" s="8">
        <v>8822396</v>
      </c>
      <c r="J8" s="9">
        <f>IFERROR(LOOKUP(IF(I8="",E8,I8),{0,1,10,50,100,500,1000,4000,8000,20000,40000,100000,200000,400000},{0,0.1,0.06,0.0326,0.0267,0.01906,0.01497,0.01252,0.01144,0.01089,0.01035,0.00749,0.00724,0.00681}),"")</f>
        <v>3.2599999999999997E-2</v>
      </c>
      <c r="K8" s="9">
        <f>IFERROR(IF(I8="",E8,I8)*J8,"")</f>
        <v>2.6079999999999997</v>
      </c>
      <c r="L8" s="10" t="s">
        <v>93</v>
      </c>
      <c r="M8" s="8">
        <v>85745</v>
      </c>
      <c r="O8" s="9">
        <f>IFERROR(USD_GBP*LOOKUP(IF(N8="",E8,N8),{0,1,10,100,150,500,1000,2000,4000,20000},{0,0.0663,0.0663,0.0331,0.0331,0.0248,0.0221,0.0198,0.0181,0.0142}),"")</f>
        <v>8.2598500901713251E-2</v>
      </c>
      <c r="P8" s="9">
        <f>IFERROR(IF(N8="",E8,N8)*O8,"")</f>
        <v>6.6078800721370605</v>
      </c>
      <c r="Q8" s="10" t="s">
        <v>102</v>
      </c>
      <c r="R8" s="8">
        <v>99286041</v>
      </c>
      <c r="T8" s="9">
        <f>IFERROR(LOOKUP(IF(S8="",E8,S8),{0,1,10,100,1000,4000,8000},{0,0.1,0.049,0.019,0.015,0.01,0.01}),"")</f>
        <v>4.9000000000000002E-2</v>
      </c>
      <c r="U8" s="9">
        <f>IFERROR(IF(S8="",E8,S8)*T8,"")</f>
        <v>3.92</v>
      </c>
      <c r="V8" s="10" t="s">
        <v>108</v>
      </c>
      <c r="W8" s="8">
        <v>176000</v>
      </c>
      <c r="Y8" s="9">
        <f>IFERROR(LOOKUP(IF(X8="",E8,X8),{0,1,10,25,50,100,250,500,1000,4000},{0,0.1,0.1,0.049,0.034,0.019,0.018,0.016,0.015,0.012}),"")</f>
        <v>3.4000000000000002E-2</v>
      </c>
      <c r="Z8" s="9">
        <f>IFERROR(IF(X8="",E8,X8)*Y8,"")</f>
        <v>2.72</v>
      </c>
      <c r="AA8" s="10" t="s">
        <v>116</v>
      </c>
      <c r="AB8" s="8">
        <v>2520000</v>
      </c>
      <c r="AD8" s="9">
        <f>IFERROR(USD_GBP*LOOKUP(IF(AC8="",E8,AC8),{0,1,4000},{0,0.007,0.007}),"")</f>
        <v>8.7208070333633907E-3</v>
      </c>
      <c r="AE8" s="9">
        <f>IFERROR(IF(AC8="",E8,AC8)*AD8,"")</f>
        <v>0.69766456266907129</v>
      </c>
      <c r="AF8" s="10" t="s">
        <v>122</v>
      </c>
    </row>
    <row r="9" spans="1:32" x14ac:dyDescent="0.25">
      <c r="A9" s="8" t="s">
        <v>16</v>
      </c>
      <c r="B9" s="8" t="s">
        <v>17</v>
      </c>
      <c r="C9" s="8" t="s">
        <v>18</v>
      </c>
      <c r="D9" s="8" t="s">
        <v>19</v>
      </c>
      <c r="E9" s="8">
        <f>BoardQty*1</f>
        <v>10</v>
      </c>
      <c r="F9" s="9">
        <f t="shared" ca="1" si="0"/>
        <v>0</v>
      </c>
      <c r="G9" s="9">
        <f t="shared" ca="1" si="1"/>
        <v>0</v>
      </c>
    </row>
    <row r="10" spans="1:32" x14ac:dyDescent="0.25">
      <c r="A10" s="8" t="s">
        <v>20</v>
      </c>
      <c r="B10" s="8" t="s">
        <v>21</v>
      </c>
      <c r="C10" s="8" t="s">
        <v>18</v>
      </c>
      <c r="D10" s="8" t="s">
        <v>19</v>
      </c>
      <c r="E10" s="8">
        <f>BoardQty*1</f>
        <v>10</v>
      </c>
      <c r="F10" s="9">
        <f t="shared" ca="1" si="0"/>
        <v>0</v>
      </c>
      <c r="G10" s="9">
        <f t="shared" ca="1" si="1"/>
        <v>0</v>
      </c>
    </row>
    <row r="11" spans="1:32" x14ac:dyDescent="0.25">
      <c r="A11" s="8" t="s">
        <v>22</v>
      </c>
      <c r="B11" s="8" t="s">
        <v>23</v>
      </c>
      <c r="C11" s="8" t="s">
        <v>18</v>
      </c>
      <c r="D11" s="8" t="s">
        <v>19</v>
      </c>
      <c r="E11" s="8">
        <f>BoardQty*1</f>
        <v>10</v>
      </c>
      <c r="F11" s="9">
        <f t="shared" ca="1" si="0"/>
        <v>0</v>
      </c>
      <c r="G11" s="9">
        <f t="shared" ca="1" si="1"/>
        <v>0</v>
      </c>
    </row>
    <row r="12" spans="1:32" x14ac:dyDescent="0.25">
      <c r="A12" s="8" t="s">
        <v>24</v>
      </c>
      <c r="B12" s="8" t="s">
        <v>25</v>
      </c>
      <c r="C12" s="8" t="s">
        <v>18</v>
      </c>
      <c r="D12" s="8" t="s">
        <v>19</v>
      </c>
      <c r="E12" s="8">
        <f>BoardQty*1</f>
        <v>10</v>
      </c>
      <c r="F12" s="9">
        <f t="shared" ca="1" si="0"/>
        <v>0</v>
      </c>
      <c r="G12" s="9">
        <f t="shared" ca="1" si="1"/>
        <v>0</v>
      </c>
    </row>
    <row r="13" spans="1:32" x14ac:dyDescent="0.25">
      <c r="A13" s="8" t="s">
        <v>26</v>
      </c>
      <c r="B13" s="8" t="s">
        <v>27</v>
      </c>
      <c r="C13" s="8" t="s">
        <v>28</v>
      </c>
      <c r="D13" s="8" t="s">
        <v>29</v>
      </c>
      <c r="E13" s="8">
        <f>BoardQty*3</f>
        <v>30</v>
      </c>
      <c r="F13" s="9">
        <f t="shared" ca="1" si="0"/>
        <v>0.39600000000000002</v>
      </c>
      <c r="G13" s="9">
        <f t="shared" ca="1" si="1"/>
        <v>11.88</v>
      </c>
      <c r="H13" s="8">
        <v>9815</v>
      </c>
      <c r="J13" s="9">
        <f>IFERROR(LOOKUP(IF(I13="",E13,I13),{0,1,5,10,50,100,250,500,1000,5000,10000},{0,0.97,0.94,0.879,0.7276,0.6064,0.59124,0.50028,0.43964,0.39416,0.379}),"")</f>
        <v>0.879</v>
      </c>
      <c r="K13" s="9">
        <f>IFERROR(IF(I13="",E13,I13)*J13,"")</f>
        <v>26.37</v>
      </c>
      <c r="L13" s="10" t="s">
        <v>94</v>
      </c>
      <c r="R13" s="8">
        <v>6415</v>
      </c>
      <c r="T13" s="9">
        <f>IFERROR(LOOKUP(IF(S13="",E13,S13),{0,1,10,100,250,500,1000},{0,1.06,0.817,0.684,0.664,0.562,0.494}),"")</f>
        <v>0.81699999999999995</v>
      </c>
      <c r="U13" s="9">
        <f>IFERROR(IF(S13="",E13,S13)*T13,"")</f>
        <v>24.509999999999998</v>
      </c>
      <c r="V13" s="10" t="s">
        <v>109</v>
      </c>
      <c r="W13" s="11" t="s">
        <v>100</v>
      </c>
      <c r="Y13" s="9">
        <f>IFERROR(LOOKUP(IF(X13="",E13,X13),{0,1,5000,10000},{0,0.396,0.385,0.379}),"")</f>
        <v>0.39600000000000002</v>
      </c>
      <c r="Z13" s="9">
        <f>IFERROR(IF(X13="",E13,X13)*Y13,"")</f>
        <v>11.88</v>
      </c>
      <c r="AA13" s="10" t="s">
        <v>117</v>
      </c>
    </row>
    <row r="14" spans="1:32" x14ac:dyDescent="0.25">
      <c r="A14" s="8" t="s">
        <v>30</v>
      </c>
      <c r="B14" s="8" t="s">
        <v>31</v>
      </c>
      <c r="C14" s="8" t="s">
        <v>32</v>
      </c>
      <c r="D14" s="8" t="s">
        <v>33</v>
      </c>
      <c r="E14" s="8">
        <f>BoardQty*1</f>
        <v>10</v>
      </c>
      <c r="F14" s="9">
        <f t="shared" ca="1" si="0"/>
        <v>4.7341523895401257E-2</v>
      </c>
      <c r="G14" s="9">
        <f t="shared" ca="1" si="1"/>
        <v>0.47341523895401255</v>
      </c>
      <c r="H14" s="8">
        <v>533126</v>
      </c>
      <c r="J14" s="9">
        <f>IFERROR(LOOKUP(IF(I14="",E14,I14),{0,1,10,25,50,100,250,500,1000,4000,8000,12000,28000,100000},{0,0.1,0.076,0.0692,0.0622,0.0455,0.03312,0.03036,0.02622,0.02208,0.02001,0.01932,0.01794,0.01773}),"")</f>
        <v>7.5999999999999998E-2</v>
      </c>
      <c r="K14" s="9">
        <f>IFERROR(IF(I14="",E14,I14)*J14,"")</f>
        <v>0.76</v>
      </c>
      <c r="L14" s="10" t="s">
        <v>95</v>
      </c>
      <c r="M14" s="8">
        <v>126403</v>
      </c>
      <c r="O14" s="9">
        <f>IFERROR(USD_GBP*LOOKUP(IF(N14="",E14,N14),{0,1,10,100,150,500,1000,2000,4000,20000},{0,0.05,0.05,0.0323,0.0323,0.0245,0.0194,0.0182,0.0144,0.0127}),"")</f>
        <v>6.2291478809738503E-2</v>
      </c>
      <c r="P14" s="9">
        <f>IFERROR(IF(N14="",E14,N14)*O14,"")</f>
        <v>0.62291478809738499</v>
      </c>
      <c r="Q14" s="10" t="s">
        <v>103</v>
      </c>
      <c r="R14" s="8">
        <v>236947</v>
      </c>
      <c r="T14" s="9">
        <f>IFERROR(LOOKUP(IF(S14="",E14,S14),{0,1,10,100,500,1000,4000},{0,0.1,0.05,0.034,0.028,0.024,0.021}),"")</f>
        <v>0.05</v>
      </c>
      <c r="U14" s="9">
        <f>IFERROR(IF(S14="",E14,S14)*T14,"")</f>
        <v>0.5</v>
      </c>
      <c r="V14" s="10" t="s">
        <v>110</v>
      </c>
      <c r="W14" s="8">
        <v>14181</v>
      </c>
      <c r="Y14" s="9">
        <f>IFERROR(LOOKUP(IF(X14="",E14,X14),{0,1,10,25,50,100,250,500,1000},{0,0.1,0.05,0.045,0.039,0.034,0.031,0.028,0.024}),"")</f>
        <v>0.05</v>
      </c>
      <c r="Z14" s="9">
        <f>IFERROR(IF(X14="",E14,X14)*Y14,"")</f>
        <v>0.5</v>
      </c>
      <c r="AA14" s="10" t="s">
        <v>118</v>
      </c>
      <c r="AB14" s="8">
        <v>8425</v>
      </c>
      <c r="AD14" s="9">
        <f>IFERROR(USD_GBP*LOOKUP(IF(AC14="",E14,AC14),{0,1,25,500,1000,2500,5000},{0,0.038,0.038,0.032,0.028,0.024,0.022}),"")</f>
        <v>4.7341523895401257E-2</v>
      </c>
      <c r="AE14" s="9">
        <f>IFERROR(IF(AC14="",E14,AC14)*AD14,"")</f>
        <v>0.47341523895401255</v>
      </c>
      <c r="AF14" s="10" t="s">
        <v>123</v>
      </c>
    </row>
    <row r="15" spans="1:32" x14ac:dyDescent="0.25">
      <c r="A15" s="8" t="s">
        <v>34</v>
      </c>
      <c r="B15" s="8" t="s">
        <v>35</v>
      </c>
      <c r="C15" s="8" t="s">
        <v>36</v>
      </c>
      <c r="D15" s="8" t="s">
        <v>37</v>
      </c>
      <c r="E15" s="8">
        <f>BoardQty*1</f>
        <v>10</v>
      </c>
      <c r="F15" s="9">
        <f t="shared" ca="1" si="0"/>
        <v>0</v>
      </c>
      <c r="G15" s="9">
        <f t="shared" ca="1" si="1"/>
        <v>0</v>
      </c>
    </row>
    <row r="16" spans="1:32" x14ac:dyDescent="0.25">
      <c r="A16" s="8" t="s">
        <v>38</v>
      </c>
      <c r="B16" s="8" t="s">
        <v>39</v>
      </c>
      <c r="C16" s="8" t="s">
        <v>40</v>
      </c>
      <c r="D16" s="8" t="s">
        <v>41</v>
      </c>
      <c r="E16" s="8">
        <f>BoardQty*1</f>
        <v>10</v>
      </c>
      <c r="F16" s="9">
        <f t="shared" ca="1" si="0"/>
        <v>0</v>
      </c>
      <c r="G16" s="9">
        <f t="shared" ca="1" si="1"/>
        <v>0</v>
      </c>
    </row>
    <row r="17" spans="1:32" x14ac:dyDescent="0.25">
      <c r="A17" s="8" t="s">
        <v>42</v>
      </c>
      <c r="B17" s="8" t="s">
        <v>43</v>
      </c>
      <c r="C17" s="8" t="s">
        <v>44</v>
      </c>
      <c r="D17" s="8" t="s">
        <v>45</v>
      </c>
      <c r="E17" s="8">
        <f>BoardQty*1</f>
        <v>10</v>
      </c>
      <c r="F17" s="9">
        <f t="shared" ca="1" si="0"/>
        <v>0</v>
      </c>
      <c r="G17" s="9">
        <f t="shared" ca="1" si="1"/>
        <v>0</v>
      </c>
    </row>
    <row r="18" spans="1:32" x14ac:dyDescent="0.25">
      <c r="A18" s="8" t="s">
        <v>46</v>
      </c>
      <c r="B18" s="8" t="s">
        <v>47</v>
      </c>
      <c r="C18" s="8" t="s">
        <v>44</v>
      </c>
      <c r="D18" s="8" t="s">
        <v>48</v>
      </c>
      <c r="E18" s="8">
        <f>BoardQty*4</f>
        <v>40</v>
      </c>
      <c r="F18" s="9">
        <f t="shared" ca="1" si="0"/>
        <v>0</v>
      </c>
      <c r="G18" s="9">
        <f t="shared" ca="1" si="1"/>
        <v>0</v>
      </c>
    </row>
    <row r="19" spans="1:32" x14ac:dyDescent="0.25">
      <c r="A19" s="8" t="s">
        <v>49</v>
      </c>
      <c r="B19" s="8" t="s">
        <v>50</v>
      </c>
      <c r="C19" s="8" t="s">
        <v>44</v>
      </c>
      <c r="D19" s="8" t="s">
        <v>51</v>
      </c>
      <c r="E19" s="8">
        <f>BoardQty*4</f>
        <v>40</v>
      </c>
      <c r="F19" s="9">
        <f t="shared" ca="1" si="0"/>
        <v>0</v>
      </c>
      <c r="G19" s="9">
        <f t="shared" ca="1" si="1"/>
        <v>0</v>
      </c>
    </row>
    <row r="20" spans="1:32" x14ac:dyDescent="0.25">
      <c r="A20" s="8" t="s">
        <v>52</v>
      </c>
      <c r="B20" s="8" t="s">
        <v>53</v>
      </c>
      <c r="C20" s="8" t="s">
        <v>54</v>
      </c>
      <c r="D20" s="8" t="s">
        <v>53</v>
      </c>
      <c r="E20" s="8">
        <f t="shared" ref="E20:E25" si="2">BoardQty*1</f>
        <v>10</v>
      </c>
      <c r="F20" s="9">
        <f t="shared" ca="1" si="0"/>
        <v>0.35007811091073038</v>
      </c>
      <c r="G20" s="9">
        <f t="shared" ca="1" si="1"/>
        <v>3.5007811091073036</v>
      </c>
      <c r="H20" s="8">
        <v>158763</v>
      </c>
      <c r="J20" s="9">
        <f>IFERROR(LOOKUP(IF(I20="",E20,I20),{0,1,10,100,500,1000,3000,6000,9000,30000,75000},{0,0.45,0.362,0.2585,0.19646,0.1551,0.14993,0.14476,0.13959,0.13235,0.12925}),"")</f>
        <v>0.36199999999999999</v>
      </c>
      <c r="K20" s="9">
        <f>IFERROR(IF(I20="",E20,I20)*J20,"")</f>
        <v>3.62</v>
      </c>
      <c r="L20" s="10" t="s">
        <v>96</v>
      </c>
      <c r="M20" s="8">
        <v>48000</v>
      </c>
      <c r="O20" s="9">
        <f>IFERROR(USD_GBP*LOOKUP(IF(N20="",E20,N20),{0,1,5,50,100,150,500,1500,3000,9000},{0,0.324,0.324,0.29,0.202,0.202,0.175,0.148,0.111,0.104}),"")</f>
        <v>0.40364878268710547</v>
      </c>
      <c r="P20" s="9">
        <f>IFERROR(IF(N20="",E20,N20)*O20,"")</f>
        <v>4.0364878268710545</v>
      </c>
      <c r="Q20" s="10" t="s">
        <v>104</v>
      </c>
      <c r="R20" s="8">
        <v>79977</v>
      </c>
      <c r="T20" s="9">
        <f>IFERROR(LOOKUP(IF(S20="",E20,S20),{0,1,10,100,500,1000,3000},{0,0.45,0.361,0.255,0.209,0.17,0.144}),"")</f>
        <v>0.36099999999999999</v>
      </c>
      <c r="U20" s="9">
        <f>IFERROR(IF(S20="",E20,S20)*T20,"")</f>
        <v>3.61</v>
      </c>
      <c r="V20" s="10" t="s">
        <v>111</v>
      </c>
      <c r="W20" s="8">
        <v>21599</v>
      </c>
      <c r="Y20" s="9">
        <f>IFERROR(LOOKUP(IF(X20="",E20,X20),{0,1,10,25,50,100,250,500,1000,3000,6000,12000,18000,30000},{0,0.125,0.416,0.366,0.318,0.269,0.252,0.233,0.222,0.123,0.12,0.105,0.095,0.082}),"")</f>
        <v>0.41599999999999998</v>
      </c>
      <c r="Z20" s="9">
        <f>IFERROR(IF(X20="",E20,X20)*Y20,"")</f>
        <v>4.16</v>
      </c>
      <c r="AA20" s="10" t="s">
        <v>119</v>
      </c>
      <c r="AB20" s="8">
        <v>5470</v>
      </c>
      <c r="AD20" s="9">
        <f>IFERROR(USD_GBP*LOOKUP(IF(AC20="",E20,AC20),{0,1,10,50,100,250,500},{0,0.281,0.281,0.264,0.25,0.236,0.225}),"")</f>
        <v>0.35007811091073038</v>
      </c>
      <c r="AE20" s="9">
        <f>IFERROR(IF(AC20="",E20,AC20)*AD20,"")</f>
        <v>3.5007811091073036</v>
      </c>
      <c r="AF20" s="10" t="s">
        <v>124</v>
      </c>
    </row>
    <row r="21" spans="1:32" x14ac:dyDescent="0.25">
      <c r="A21" s="8" t="s">
        <v>55</v>
      </c>
      <c r="B21" s="8" t="s">
        <v>56</v>
      </c>
      <c r="C21" s="8" t="s">
        <v>57</v>
      </c>
      <c r="D21" s="8" t="s">
        <v>58</v>
      </c>
      <c r="E21" s="8">
        <f t="shared" si="2"/>
        <v>10</v>
      </c>
      <c r="F21" s="9">
        <f t="shared" ca="1" si="0"/>
        <v>3.9119048692515777</v>
      </c>
      <c r="G21" s="9">
        <f t="shared" ca="1" si="1"/>
        <v>39.119048692515776</v>
      </c>
      <c r="H21" s="8">
        <v>97824</v>
      </c>
      <c r="J21" s="9">
        <f>IFERROR(LOOKUP(IF(I21="",E21,I21),{0,1,10,50,100,250,500,1000,2000},{0,4.5,4.05,3.85,3.65,3.25,2.85002,2.65,2.65001}),"")</f>
        <v>4.05</v>
      </c>
      <c r="K21" s="9">
        <f>IFERROR(IF(I21="",E21,I21)*J21,"")</f>
        <v>40.5</v>
      </c>
      <c r="L21" s="10" t="s">
        <v>97</v>
      </c>
      <c r="M21" s="8">
        <v>94828</v>
      </c>
      <c r="O21" s="9">
        <f>IFERROR(USD_GBP*LOOKUP(IF(N21="",E21,N21),{0,1,10,50,100,250,500,1000,2000},{0,3.49,3.14,2.99,2.84,2.53,2.21,2.06,2.02}),"")</f>
        <v>3.9119048692515777</v>
      </c>
      <c r="P21" s="9">
        <f>IFERROR(IF(N21="",E21,N21)*O21,"")</f>
        <v>39.119048692515776</v>
      </c>
      <c r="Q21" s="10" t="s">
        <v>105</v>
      </c>
      <c r="R21" s="8">
        <v>95486</v>
      </c>
      <c r="T21" s="9">
        <f>IFERROR(LOOKUP(IF(S21="",E21,S21),{0,1,10,50,100,250,500},{0,4.5,4.05,3.85,3.65,3.25,2.85}),"")</f>
        <v>4.05</v>
      </c>
      <c r="U21" s="9">
        <f>IFERROR(IF(S21="",E21,S21)*T21,"")</f>
        <v>40.5</v>
      </c>
      <c r="V21" s="10" t="s">
        <v>112</v>
      </c>
      <c r="W21" s="8">
        <v>43847</v>
      </c>
      <c r="Y21" s="9">
        <f>IFERROR(LOOKUP(IF(X21="",E21,X21),{0,1,10,50,100,250,500,1000,2000},{0,4.51,4.05,3.86,3.67,3.27,2.85,2.66,2.61}),"")</f>
        <v>4.05</v>
      </c>
      <c r="Z21" s="9">
        <f>IFERROR(IF(X21="",E21,X21)*Y21,"")</f>
        <v>40.5</v>
      </c>
      <c r="AA21" s="10" t="s">
        <v>120</v>
      </c>
    </row>
    <row r="22" spans="1:32" x14ac:dyDescent="0.25">
      <c r="A22" s="8" t="s">
        <v>59</v>
      </c>
      <c r="B22" s="8" t="s">
        <v>60</v>
      </c>
      <c r="C22" s="8" t="s">
        <v>61</v>
      </c>
      <c r="D22" s="8" t="s">
        <v>62</v>
      </c>
      <c r="E22" s="8">
        <f t="shared" si="2"/>
        <v>10</v>
      </c>
      <c r="F22" s="9">
        <f t="shared" ca="1" si="0"/>
        <v>1.4875205139765553</v>
      </c>
      <c r="G22" s="9">
        <f t="shared" ca="1" si="1"/>
        <v>14.875205139765553</v>
      </c>
      <c r="H22" s="8">
        <v>5079</v>
      </c>
      <c r="J22" s="9">
        <f>IFERROR(LOOKUP(IF(I22="",E22,I22),{0,1,10,25,100,250,500,1000},{0,2.76,2.475,2.34,1.924,1.7264,1.664,1.508}),"")</f>
        <v>2.4750000000000001</v>
      </c>
      <c r="K22" s="9">
        <f>IFERROR(IF(I22="",E22,I22)*J22,"")</f>
        <v>24.75</v>
      </c>
      <c r="L22" s="10" t="s">
        <v>98</v>
      </c>
      <c r="M22" s="8">
        <v>427</v>
      </c>
      <c r="O22" s="9">
        <f>IFERROR(USD_GBP*LOOKUP(IF(N22="",E22,N22),{0,1,10,25,50,100,250,500},{0,2.37,1.88,1.77,1.62,1.47,1.31,1.27}),"")</f>
        <v>2.3421596032461673</v>
      </c>
      <c r="P22" s="9">
        <f>IFERROR(IF(N22="",E22,N22)*O22,"")</f>
        <v>23.421596032461672</v>
      </c>
      <c r="Q22" s="10" t="s">
        <v>106</v>
      </c>
      <c r="R22" s="11" t="s">
        <v>100</v>
      </c>
      <c r="T22" s="9">
        <f>IFERROR(LOOKUP(IF(S22="",E22,S22),{0,1,10,25,100,250,500},{0,2.75,2.47,2.33,1.92,1.72,1.66}),"")</f>
        <v>2.4700000000000002</v>
      </c>
      <c r="U22" s="9">
        <f>IFERROR(IF(S22="",E22,S22)*T22,"")</f>
        <v>24.700000000000003</v>
      </c>
      <c r="V22" s="10" t="s">
        <v>113</v>
      </c>
      <c r="AB22" s="8">
        <v>1000</v>
      </c>
      <c r="AD22" s="9">
        <f>IFERROR(USD_GBP*LOOKUP(IF(AC22="",E22,AC22),{0,1,1000},{0,1.194,1.194}),"")</f>
        <v>1.4875205139765553</v>
      </c>
      <c r="AE22" s="9">
        <f>IFERROR(IF(AC22="",E22,AC22)*AD22,"")</f>
        <v>14.875205139765553</v>
      </c>
      <c r="AF22" s="10" t="s">
        <v>125</v>
      </c>
    </row>
    <row r="23" spans="1:32" x14ac:dyDescent="0.25">
      <c r="A23" s="8" t="s">
        <v>63</v>
      </c>
      <c r="B23" s="8" t="s">
        <v>64</v>
      </c>
      <c r="C23" s="8" t="s">
        <v>61</v>
      </c>
      <c r="D23" s="8" t="s">
        <v>65</v>
      </c>
      <c r="E23" s="8">
        <f t="shared" si="2"/>
        <v>10</v>
      </c>
      <c r="F23" s="9">
        <f t="shared" ca="1" si="0"/>
        <v>2.4700000000000002</v>
      </c>
      <c r="G23" s="9">
        <f t="shared" ca="1" si="1"/>
        <v>24.700000000000003</v>
      </c>
      <c r="H23" s="11" t="s">
        <v>100</v>
      </c>
      <c r="J23" s="9">
        <f>IFERROR(LOOKUP(IF(I23="",E23,I23),{0,1,10,25,100,250,500,1000},{0,2.76,2.475,2.34,1.924,1.7264,1.664,1.508}),"")</f>
        <v>2.4750000000000001</v>
      </c>
      <c r="K23" s="9">
        <f>IFERROR(IF(I23="",E23,I23)*J23,"")</f>
        <v>24.75</v>
      </c>
      <c r="L23" s="10" t="s">
        <v>99</v>
      </c>
      <c r="R23" s="8">
        <v>2900</v>
      </c>
      <c r="T23" s="9">
        <f>IFERROR(LOOKUP(IF(S23="",E23,S23),{0,1,10,25,100,250,500},{0,2.75,2.47,2.33,1.92,1.72,1.66}),"")</f>
        <v>2.4700000000000002</v>
      </c>
      <c r="U23" s="9">
        <f>IFERROR(IF(S23="",E23,S23)*T23,"")</f>
        <v>24.700000000000003</v>
      </c>
      <c r="V23" s="10" t="s">
        <v>114</v>
      </c>
    </row>
    <row r="24" spans="1:32" x14ac:dyDescent="0.25">
      <c r="A24" s="8" t="s">
        <v>66</v>
      </c>
      <c r="B24" s="8" t="s">
        <v>67</v>
      </c>
      <c r="C24" s="8" t="s">
        <v>68</v>
      </c>
      <c r="D24" s="8" t="s">
        <v>69</v>
      </c>
      <c r="E24" s="8">
        <f t="shared" si="2"/>
        <v>10</v>
      </c>
      <c r="F24" s="9">
        <f t="shared" ca="1" si="0"/>
        <v>0</v>
      </c>
      <c r="G24" s="9">
        <f t="shared" ca="1" si="1"/>
        <v>0</v>
      </c>
    </row>
    <row r="25" spans="1:32" x14ac:dyDescent="0.25">
      <c r="A25" s="8" t="s">
        <v>70</v>
      </c>
      <c r="B25" s="8" t="s">
        <v>71</v>
      </c>
      <c r="C25" s="8" t="s">
        <v>72</v>
      </c>
      <c r="D25" s="8" t="s">
        <v>73</v>
      </c>
      <c r="E25" s="8">
        <f t="shared" si="2"/>
        <v>10</v>
      </c>
      <c r="F25" s="9">
        <f t="shared" ca="1" si="0"/>
        <v>0</v>
      </c>
      <c r="G25" s="9">
        <f t="shared" ca="1" si="1"/>
        <v>0</v>
      </c>
    </row>
    <row r="27" spans="1:32" ht="17.25" x14ac:dyDescent="0.25">
      <c r="B27" s="12" t="s">
        <v>76</v>
      </c>
      <c r="F27" s="1" t="s">
        <v>74</v>
      </c>
      <c r="G27" s="5">
        <f ca="1">SUM(INDIRECT(ADDRESS(ROW(),COLUMN(digikey_part_data)+3)),INDIRECT(ADDRESS(ROW(),COLUMN(farnell_part_data)+3)),INDIRECT(ADDRESS(ROW(),COLUMN(mouser_part_data)+3)),INDIRECT(ADDRESS(ROW(),COLUMN(newark_part_data)+3)),INDIRECT(ADDRESS(ROW(),COLUMN(rs_part_data)+3)))</f>
        <v>0</v>
      </c>
      <c r="I27" s="6" t="str">
        <f>IFERROR(IF(OR(I7:I25),COUNTIFS(I7:I25,"&gt;0",K7:K25,"&lt;&gt;")&amp;" of "&amp;(ROWS(K7:K25)-COUNTBLANK(K7:K25))&amp;" parts purchased",""),"")</f>
        <v/>
      </c>
      <c r="K27" s="5">
        <f>SUMIF(I7:I25,"&gt;0",K7:K25)</f>
        <v>0</v>
      </c>
      <c r="N27" s="6" t="str">
        <f>IFERROR(IF(OR(N7:N25),COUNTIFS(N7:N25,"&gt;0",P7:P25,"&lt;&gt;")&amp;" of "&amp;(ROWS(P7:P25)-COUNTBLANK(P7:P25))&amp;" parts purchased",""),"")</f>
        <v/>
      </c>
      <c r="P27" s="5">
        <f>SUMIF(N7:N25,"&gt;0",P7:P25)</f>
        <v>0</v>
      </c>
      <c r="S27" s="6" t="str">
        <f>IFERROR(IF(OR(S7:S25),COUNTIFS(S7:S25,"&gt;0",U7:U25,"&lt;&gt;")&amp;" of "&amp;(ROWS(U7:U25)-COUNTBLANK(U7:U25))&amp;" parts purchased",""),"")</f>
        <v/>
      </c>
      <c r="U27" s="5">
        <f>SUMIF(S7:S25,"&gt;0",U7:U25)</f>
        <v>0</v>
      </c>
      <c r="X27" s="6" t="str">
        <f>IFERROR(IF(OR(X7:X25),COUNTIFS(X7:X25,"&gt;0",Z7:Z25,"&lt;&gt;")&amp;" of "&amp;(ROWS(Z7:Z25)-COUNTBLANK(Z7:Z25))&amp;" parts purchased",""),"")</f>
        <v/>
      </c>
      <c r="Z27" s="5">
        <f>SUMIF(X7:X25,"&gt;0",Z7:Z25)</f>
        <v>0</v>
      </c>
      <c r="AC27" s="6" t="str">
        <f>IFERROR(IF(OR(AC7:AC25),COUNTIFS(AC7:AC25,"&gt;0",AE7:AE25,"&lt;&gt;")&amp;" of "&amp;(ROWS(AE7:AE25)-COUNTBLANK(AE7:AE25))&amp;" parts purchased",""),"")</f>
        <v/>
      </c>
      <c r="AE27" s="5">
        <f>SUMIF(AC7:AC25,"&gt;0",AE7:AE25)</f>
        <v>0</v>
      </c>
    </row>
    <row r="28" spans="1:32" x14ac:dyDescent="0.25">
      <c r="B28" s="12" t="s">
        <v>77</v>
      </c>
      <c r="C28">
        <v>1.24582957619477</v>
      </c>
      <c r="F28" s="12" t="s">
        <v>75</v>
      </c>
      <c r="I28" t="str">
        <f t="array" ref="I28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28" t="str">
        <f t="array" ref="N28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28" t="str">
        <f t="array" ref="S28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28" t="str">
        <f t="array" ref="X28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28" t="str">
        <f t="array" ref="AC28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29" spans="1:32" x14ac:dyDescent="0.25">
      <c r="I29" t="str">
        <f t="array" ref="I29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29" t="str">
        <f t="array" ref="N29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29" t="str">
        <f t="array" ref="S29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29" t="str">
        <f t="array" ref="X29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29" t="str">
        <f t="array" ref="AC29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30" spans="1:32" ht="15.75" x14ac:dyDescent="0.25">
      <c r="A30" s="2" t="s">
        <v>126</v>
      </c>
      <c r="I30" t="str">
        <f t="array" ref="I30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30" t="str">
        <f t="array" ref="N30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30" t="str">
        <f t="array" ref="S30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30" t="str">
        <f t="array" ref="X30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30" t="str">
        <f t="array" ref="AC30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31" spans="1:32" x14ac:dyDescent="0.25">
      <c r="I31" t="str">
        <f t="array" ref="I31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31" t="str">
        <f t="array" ref="N31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31" t="str">
        <f t="array" ref="S31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31" t="str">
        <f t="array" ref="X31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31" t="str">
        <f t="array" ref="AC31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32" spans="1:32" x14ac:dyDescent="0.25">
      <c r="I32" t="str">
        <f t="array" ref="I32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32" t="str">
        <f t="array" ref="N32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32" t="str">
        <f t="array" ref="S32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32" t="str">
        <f t="array" ref="X32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32" t="str">
        <f t="array" ref="AC32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33" spans="9:29" x14ac:dyDescent="0.25">
      <c r="I33" t="str">
        <f t="array" ref="I33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33" t="str">
        <f t="array" ref="N33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33" t="str">
        <f t="array" ref="S33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33" t="str">
        <f t="array" ref="X33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33" t="str">
        <f t="array" ref="AC33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34" spans="9:29" x14ac:dyDescent="0.25">
      <c r="I34" t="str">
        <f t="array" ref="I34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34" t="str">
        <f t="array" ref="N34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34" t="str">
        <f t="array" ref="S34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34" t="str">
        <f t="array" ref="X34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34" t="str">
        <f t="array" ref="AC34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35" spans="9:29" x14ac:dyDescent="0.25">
      <c r="I35" t="str">
        <f t="array" ref="I35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35" t="str">
        <f t="array" ref="N35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35" t="str">
        <f t="array" ref="S35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35" t="str">
        <f t="array" ref="X35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35" t="str">
        <f t="array" ref="AC35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36" spans="9:29" x14ac:dyDescent="0.25">
      <c r="I36" t="str">
        <f t="array" ref="I36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36" t="str">
        <f t="array" ref="N36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36" t="str">
        <f t="array" ref="S36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36" t="str">
        <f t="array" ref="X36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36" t="str">
        <f t="array" ref="AC36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37" spans="9:29" x14ac:dyDescent="0.25">
      <c r="I37" t="str">
        <f t="array" ref="I37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37" t="str">
        <f t="array" ref="N37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37" t="str">
        <f t="array" ref="S37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37" t="str">
        <f t="array" ref="X37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37" t="str">
        <f t="array" ref="AC37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38" spans="9:29" x14ac:dyDescent="0.25">
      <c r="I38" t="str">
        <f t="array" ref="I38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38" t="str">
        <f t="array" ref="N38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38" t="str">
        <f t="array" ref="S38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38" t="str">
        <f t="array" ref="X38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38" t="str">
        <f t="array" ref="AC38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39" spans="9:29" x14ac:dyDescent="0.25">
      <c r="I39" t="str">
        <f t="array" ref="I39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39" t="str">
        <f t="array" ref="N39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39" t="str">
        <f t="array" ref="S39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39" t="str">
        <f t="array" ref="X39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39" t="str">
        <f t="array" ref="AC39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40" spans="9:29" x14ac:dyDescent="0.25">
      <c r="I40" t="str">
        <f t="array" ref="I40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40" t="str">
        <f t="array" ref="N40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40" t="str">
        <f t="array" ref="S40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40" t="str">
        <f t="array" ref="X40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40" t="str">
        <f t="array" ref="AC40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41" spans="9:29" x14ac:dyDescent="0.25">
      <c r="I41" t="str">
        <f t="array" ref="I41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41" t="str">
        <f t="array" ref="N41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41" t="str">
        <f t="array" ref="S41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41" t="str">
        <f t="array" ref="X41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41" t="str">
        <f t="array" ref="AC41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42" spans="9:29" x14ac:dyDescent="0.25">
      <c r="I42" t="str">
        <f t="array" ref="I42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42" t="str">
        <f t="array" ref="N42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42" t="str">
        <f t="array" ref="S42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42" t="str">
        <f t="array" ref="X42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42" t="str">
        <f t="array" ref="AC42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43" spans="9:29" x14ac:dyDescent="0.25">
      <c r="I43" t="str">
        <f t="array" ref="I43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43" t="str">
        <f t="array" ref="N43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43" t="str">
        <f t="array" ref="S43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43" t="str">
        <f t="array" ref="X43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43" t="str">
        <f t="array" ref="AC43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44" spans="9:29" x14ac:dyDescent="0.25">
      <c r="I44" t="str">
        <f t="array" ref="I44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44" t="str">
        <f t="array" ref="N44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44" t="str">
        <f t="array" ref="S44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44" t="str">
        <f t="array" ref="X44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44" t="str">
        <f t="array" ref="AC44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45" spans="9:29" x14ac:dyDescent="0.25">
      <c r="I45" t="str">
        <f t="array" ref="I45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45" t="str">
        <f t="array" ref="N45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45" t="str">
        <f t="array" ref="S45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45" t="str">
        <f t="array" ref="X45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45" t="str">
        <f t="array" ref="AC45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  <row r="46" spans="9:29" x14ac:dyDescent="0.25">
      <c r="I46" t="str">
        <f t="array" ref="I46">IFERROR(CONCATENATE(TEXT(INDEX(I7:I25,SMALL(IF(ISNUMBER(I7:I25),IF(I7:I25&gt;0,IF(L7:L25&lt;&gt;"",ROW(I7:I25)-MIN(ROW(I7:I25))+1))),ROW()-ROW(A$28)+1)),"##0"),",",INDEX(L7:L25,SMALL(IF(ISNUMBER(I7:I25),IF(I7:I25&gt;0,IF(L7:L25&lt;&gt;"",ROW(I7:I25)-MIN(ROW(I7:I25))+1))),ROW()-ROW(A$28)+1)),",",SUBSTITUTE(INDEX(IF(PURCHASE_DESCRIPTION&lt;&gt;"",PURCHASE_DESCRIPTION&amp;":","")&amp;A7:A25,SMALL(IF(ISNUMBER(I7:I25),IF(I7:I25&gt;0,IF(L7:L25&lt;&gt;"",ROW(I7:I25)-MIN(ROW(I7:I25))+1))),ROW()-ROW(A$28)+1)),",",";")),"")</f>
        <v/>
      </c>
      <c r="N46" t="str">
        <f t="array" ref="N46">IFERROR(CONCATENATE(INDEX(Q7:Q25,SMALL(IF(ISNUMBER(N7:N25),IF(N7:N25&gt;0,IF(Q7:Q25&lt;&gt;"",ROW(N7:N25)-MIN(ROW(N7:N25))+1))),ROW()-ROW(A$28)+1))," ",TEXT(INDEX(N7:N25,SMALL(IF(ISNUMBER(N7:N25),IF(N7:N25&gt;0,IF(Q7:Q25&lt;&gt;"",ROW(N7:N25)-MIN(ROW(N7:N25))+1))),ROW()-ROW(A$28)+1)),"##0")," ",SUBSTITUTE(INDEX(IF(PURCHASE_DESCRIPTION&lt;&gt;"",PURCHASE_DESCRIPTION&amp;":","")&amp;A7:A25,SMALL(IF(ISNUMBER(N7:N25),IF(N7:N25&gt;0,IF(Q7:Q25&lt;&gt;"",ROW(N7:N25)-MIN(ROW(N7:N25))+1))),ROW()-ROW(A$28)+1))," ",";")),"")</f>
        <v/>
      </c>
      <c r="S46" t="str">
        <f t="array" ref="S46">IFERROR(CONCATENATE(INDEX(V7:V25,SMALL(IF(ISNUMBER(S7:S25),IF(S7:S25&gt;0,IF(V7:V25&lt;&gt;"",ROW(S7:S25)-MIN(ROW(S7:S25))+1))),ROW()-ROW(A$28)+1)),"|",TEXT(INDEX(S7:S25,SMALL(IF(ISNUMBER(S7:S25),IF(S7:S25&gt;0,IF(V7:V25&lt;&gt;"",ROW(S7:S25)-MIN(ROW(S7:S25))+1))),ROW()-ROW(A$28)+1)),"##0"),"|",SUBSTITUTE(SUBSTITUTE(INDEX(IF(PURCHASE_DESCRIPTION&lt;&gt;"",PURCHASE_DESCRIPTION&amp;":","")&amp;A7:A25,SMALL(IF(ISNUMBER(S7:S25),IF(S7:S25&gt;0,IF(V7:V25&lt;&gt;"",ROW(S7:S25)-MIN(ROW(S7:S25))+1))),ROW()-ROW(A$28)+1)),"|",";")," ","_")),"")</f>
        <v/>
      </c>
      <c r="X46" t="str">
        <f t="array" ref="X46">IFERROR(CONCATENATE(INDEX(AA7:AA25,SMALL(IF(ISNUMBER(X7:X25),IF(X7:X25&gt;0,IF(AA7:AA25&lt;&gt;"",ROW(X7:X25)-MIN(ROW(X7:X25))+1))),ROW()-ROW(A$28)+1)),",",TEXT(INDEX(X7:X25,SMALL(IF(ISNUMBER(X7:X25),IF(X7:X25&gt;0,IF(AA7:AA25&lt;&gt;"",ROW(X7:X25)-MIN(ROW(X7:X25))+1))),ROW()-ROW(A$28)+1)),"##0"),",",SUBSTITUTE(INDEX(IF(PURCHASE_DESCRIPTION&lt;&gt;"",PURCHASE_DESCRIPTION&amp;":","")&amp;A7:A25,SMALL(IF(ISNUMBER(X7:X25),IF(X7:X25&gt;0,IF(AA7:AA25&lt;&gt;"",ROW(X7:X25)-MIN(ROW(X7:X25))+1))),ROW()-ROW(A$28)+1)),",",";")),"")</f>
        <v/>
      </c>
      <c r="AC46" t="str">
        <f t="array" ref="AC46">IFERROR(CONCATENATE(INDEX(AF7:AF25,SMALL(IF(ISNUMBER(AC7:AC25),IF(AC7:AC25&gt;0,IF(AF7:AF25&lt;&gt;"",ROW(AC7:AC25)-MIN(ROW(AC7:AC25))+1))),ROW()-ROW(A$28)+1))," ",TEXT(INDEX(AC7:AC25,SMALL(IF(ISNUMBER(AC7:AC25),IF(AC7:AC25&gt;0,IF(AF7:AF25&lt;&gt;"",ROW(AC7:AC25)-MIN(ROW(AC7:AC25))+1))),ROW()-ROW(A$28)+1)),"##0")," ",SUBSTITUTE(INDEX(IF(PURCHASE_DESCRIPTION&lt;&gt;"",PURCHASE_DESCRIPTION&amp;":","")&amp;A7:A25,SMALL(IF(ISNUMBER(AC7:AC25),IF(AC7:AC25&gt;0,IF(AF7:AF25&lt;&gt;"",ROW(AC7:AC25)-MIN(ROW(AC7:AC25))+1))),ROW()-ROW(A$28)+1))," ",";")),"")</f>
        <v/>
      </c>
    </row>
  </sheetData>
  <mergeCells count="6">
    <mergeCell ref="AB5:AF5"/>
    <mergeCell ref="A5:G5"/>
    <mergeCell ref="H5:L5"/>
    <mergeCell ref="M5:Q5"/>
    <mergeCell ref="R5:V5"/>
    <mergeCell ref="W5:AA5"/>
  </mergeCells>
  <conditionalFormatting sqref="AB14">
    <cfRule type="cellIs" dxfId="222" priority="206" operator="equal">
      <formula>0</formula>
    </cfRule>
    <cfRule type="cellIs" dxfId="221" priority="207" operator="lessThan">
      <formula>E14</formula>
    </cfRule>
  </conditionalFormatting>
  <conditionalFormatting sqref="AB20">
    <cfRule type="cellIs" dxfId="220" priority="212" operator="equal">
      <formula>0</formula>
    </cfRule>
    <cfRule type="cellIs" dxfId="219" priority="213" operator="lessThan">
      <formula>E20</formula>
    </cfRule>
  </conditionalFormatting>
  <conditionalFormatting sqref="AB22">
    <cfRule type="cellIs" dxfId="218" priority="218" operator="equal">
      <formula>0</formula>
    </cfRule>
    <cfRule type="cellIs" dxfId="217" priority="219" operator="lessThan">
      <formula>E22</formula>
    </cfRule>
  </conditionalFormatting>
  <conditionalFormatting sqref="AB8">
    <cfRule type="cellIs" dxfId="216" priority="200" operator="equal">
      <formula>0</formula>
    </cfRule>
    <cfRule type="cellIs" dxfId="215" priority="201" operator="lessThan">
      <formula>E8</formula>
    </cfRule>
  </conditionalFormatting>
  <conditionalFormatting sqref="AC14">
    <cfRule type="expression" dxfId="214" priority="208">
      <formula>AND(AC14&gt;0,AC14&lt;25)</formula>
    </cfRule>
    <cfRule type="cellIs" dxfId="213" priority="209" operator="greaterThan">
      <formula>AB14</formula>
    </cfRule>
  </conditionalFormatting>
  <conditionalFormatting sqref="AC20">
    <cfRule type="expression" dxfId="212" priority="214">
      <formula>AND(AC20&gt;0,AC20&lt;10)</formula>
    </cfRule>
    <cfRule type="cellIs" dxfId="211" priority="215" operator="greaterThan">
      <formula>AB20</formula>
    </cfRule>
  </conditionalFormatting>
  <conditionalFormatting sqref="AC22">
    <cfRule type="expression" dxfId="210" priority="220">
      <formula>AND(AC22&gt;0,AC22&lt;1000)</formula>
    </cfRule>
    <cfRule type="cellIs" dxfId="209" priority="221" operator="greaterThan">
      <formula>AB22</formula>
    </cfRule>
  </conditionalFormatting>
  <conditionalFormatting sqref="AC8">
    <cfRule type="expression" dxfId="208" priority="202">
      <formula>AND(AC8&gt;0,AC8&lt;4000)</formula>
    </cfRule>
    <cfRule type="cellIs" dxfId="207" priority="203" operator="greaterThan">
      <formula>AB8</formula>
    </cfRule>
  </conditionalFormatting>
  <conditionalFormatting sqref="AD14">
    <cfRule type="cellIs" dxfId="206" priority="211" operator="lessThanOrEqual">
      <formula>F14</formula>
    </cfRule>
  </conditionalFormatting>
  <conditionalFormatting sqref="AD20">
    <cfRule type="cellIs" dxfId="205" priority="217" operator="lessThanOrEqual">
      <formula>F20</formula>
    </cfRule>
  </conditionalFormatting>
  <conditionalFormatting sqref="AD22">
    <cfRule type="cellIs" dxfId="204" priority="223" operator="lessThanOrEqual">
      <formula>F22</formula>
    </cfRule>
  </conditionalFormatting>
  <conditionalFormatting sqref="AD8">
    <cfRule type="cellIs" dxfId="203" priority="205" operator="lessThanOrEqual">
      <formula>F8</formula>
    </cfRule>
  </conditionalFormatting>
  <conditionalFormatting sqref="AE14">
    <cfRule type="cellIs" dxfId="202" priority="210" operator="lessThanOrEqual">
      <formula>G14</formula>
    </cfRule>
  </conditionalFormatting>
  <conditionalFormatting sqref="AE20">
    <cfRule type="cellIs" dxfId="201" priority="216" operator="lessThanOrEqual">
      <formula>G20</formula>
    </cfRule>
  </conditionalFormatting>
  <conditionalFormatting sqref="AE22">
    <cfRule type="cellIs" dxfId="200" priority="222" operator="lessThanOrEqual">
      <formula>G22</formula>
    </cfRule>
  </conditionalFormatting>
  <conditionalFormatting sqref="AE8">
    <cfRule type="cellIs" dxfId="199" priority="204" operator="lessThanOrEqual">
      <formula>G8</formula>
    </cfRule>
  </conditionalFormatting>
  <conditionalFormatting sqref="E10">
    <cfRule type="expression" dxfId="198" priority="13">
      <formula>AND(ISBLANK(D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97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96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95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1">
    <cfRule type="expression" dxfId="194" priority="17">
      <formula>AND(ISBLANK(D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93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9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91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2">
    <cfRule type="expression" dxfId="190" priority="21">
      <formula>AND(ISBLANK(D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89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88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87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3">
    <cfRule type="expression" dxfId="186" priority="25">
      <formula>AND(ISBLANK(D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85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84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8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4">
    <cfRule type="expression" dxfId="182" priority="29">
      <formula>AND(ISBLANK(D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8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80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79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5">
    <cfRule type="expression" dxfId="178" priority="33">
      <formula>AND(ISBLANK(D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77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76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75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6">
    <cfRule type="expression" dxfId="174" priority="37">
      <formula>AND(ISBLANK(D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73" priority="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72" priority="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71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7">
    <cfRule type="expression" dxfId="170" priority="41">
      <formula>AND(ISBLANK(D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69" priority="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68" priority="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67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8">
    <cfRule type="expression" dxfId="166" priority="45">
      <formula>AND(ISBLANK(D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65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64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63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9">
    <cfRule type="expression" dxfId="162" priority="49">
      <formula>AND(ISBLANK(D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61" priority="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60" priority="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59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0">
    <cfRule type="expression" dxfId="158" priority="53">
      <formula>AND(ISBLANK(D20)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57" priority="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56" priority="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55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1">
    <cfRule type="expression" dxfId="154" priority="57">
      <formula>AND(ISBLANK(D21)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53" priority="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52" priority="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51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2">
    <cfRule type="expression" dxfId="150" priority="61">
      <formula>AND(ISBLANK(D22)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49" priority="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48" priority="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47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3">
    <cfRule type="expression" dxfId="146" priority="65">
      <formula>AND(ISBLANK(D23)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45" priority="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44" priority="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43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4">
    <cfRule type="expression" dxfId="142" priority="69">
      <formula>AND(ISBLANK(D24)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41" priority="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40" priority="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39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5">
    <cfRule type="expression" dxfId="138" priority="73">
      <formula>AND(ISBLANK(D25)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37" priority="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36" priority="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35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7">
    <cfRule type="expression" dxfId="134" priority="1">
      <formula>AND(ISBLANK(D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33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3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31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8">
    <cfRule type="expression" dxfId="130" priority="5">
      <formula>AND(ISBLANK(D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29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28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27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9">
    <cfRule type="expression" dxfId="126" priority="9">
      <formula>AND(ISBLANK(D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125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124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12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H13">
    <cfRule type="cellIs" dxfId="122" priority="82" operator="equal">
      <formula>0</formula>
    </cfRule>
    <cfRule type="cellIs" dxfId="121" priority="83" operator="lessThan">
      <formula>E13</formula>
    </cfRule>
  </conditionalFormatting>
  <conditionalFormatting sqref="H14">
    <cfRule type="cellIs" dxfId="120" priority="87" operator="equal">
      <formula>0</formula>
    </cfRule>
    <cfRule type="cellIs" dxfId="119" priority="88" operator="lessThan">
      <formula>E14</formula>
    </cfRule>
  </conditionalFormatting>
  <conditionalFormatting sqref="H20">
    <cfRule type="cellIs" dxfId="118" priority="92" operator="equal">
      <formula>0</formula>
    </cfRule>
    <cfRule type="cellIs" dxfId="117" priority="93" operator="lessThan">
      <formula>E20</formula>
    </cfRule>
  </conditionalFormatting>
  <conditionalFormatting sqref="H21">
    <cfRule type="cellIs" dxfId="116" priority="97" operator="equal">
      <formula>0</formula>
    </cfRule>
    <cfRule type="cellIs" dxfId="115" priority="98" operator="lessThan">
      <formula>E21</formula>
    </cfRule>
  </conditionalFormatting>
  <conditionalFormatting sqref="H22">
    <cfRule type="cellIs" dxfId="114" priority="102" operator="equal">
      <formula>0</formula>
    </cfRule>
    <cfRule type="cellIs" dxfId="113" priority="103" operator="lessThan">
      <formula>E22</formula>
    </cfRule>
  </conditionalFormatting>
  <conditionalFormatting sqref="H23">
    <cfRule type="cellIs" dxfId="112" priority="107" operator="equal">
      <formula>0</formula>
    </cfRule>
    <cfRule type="cellIs" dxfId="111" priority="108" operator="lessThan">
      <formula>E23</formula>
    </cfRule>
  </conditionalFormatting>
  <conditionalFormatting sqref="H8">
    <cfRule type="cellIs" dxfId="110" priority="77" operator="equal">
      <formula>0</formula>
    </cfRule>
    <cfRule type="cellIs" dxfId="109" priority="78" operator="lessThan">
      <formula>E8</formula>
    </cfRule>
  </conditionalFormatting>
  <conditionalFormatting sqref="I13">
    <cfRule type="cellIs" dxfId="108" priority="84" operator="greaterThan">
      <formula>H13</formula>
    </cfRule>
  </conditionalFormatting>
  <conditionalFormatting sqref="I14">
    <cfRule type="cellIs" dxfId="107" priority="89" operator="greaterThan">
      <formula>H14</formula>
    </cfRule>
  </conditionalFormatting>
  <conditionalFormatting sqref="I20">
    <cfRule type="cellIs" dxfId="106" priority="94" operator="greaterThan">
      <formula>H20</formula>
    </cfRule>
  </conditionalFormatting>
  <conditionalFormatting sqref="I21">
    <cfRule type="cellIs" dxfId="105" priority="99" operator="greaterThan">
      <formula>H21</formula>
    </cfRule>
  </conditionalFormatting>
  <conditionalFormatting sqref="I22">
    <cfRule type="cellIs" dxfId="104" priority="104" operator="greaterThan">
      <formula>H22</formula>
    </cfRule>
  </conditionalFormatting>
  <conditionalFormatting sqref="I23">
    <cfRule type="cellIs" dxfId="103" priority="109" operator="greaterThan">
      <formula>H23</formula>
    </cfRule>
  </conditionalFormatting>
  <conditionalFormatting sqref="I8">
    <cfRule type="cellIs" dxfId="102" priority="79" operator="greaterThan">
      <formula>H8</formula>
    </cfRule>
  </conditionalFormatting>
  <conditionalFormatting sqref="J13">
    <cfRule type="cellIs" dxfId="101" priority="86" operator="lessThanOrEqual">
      <formula>F13</formula>
    </cfRule>
  </conditionalFormatting>
  <conditionalFormatting sqref="J14">
    <cfRule type="cellIs" dxfId="100" priority="91" operator="lessThanOrEqual">
      <formula>F14</formula>
    </cfRule>
  </conditionalFormatting>
  <conditionalFormatting sqref="J20">
    <cfRule type="cellIs" dxfId="99" priority="96" operator="lessThanOrEqual">
      <formula>F20</formula>
    </cfRule>
  </conditionalFormatting>
  <conditionalFormatting sqref="J21">
    <cfRule type="cellIs" dxfId="98" priority="101" operator="lessThanOrEqual">
      <formula>F21</formula>
    </cfRule>
  </conditionalFormatting>
  <conditionalFormatting sqref="J22">
    <cfRule type="cellIs" dxfId="97" priority="106" operator="lessThanOrEqual">
      <formula>F22</formula>
    </cfRule>
  </conditionalFormatting>
  <conditionalFormatting sqref="J23">
    <cfRule type="cellIs" dxfId="96" priority="111" operator="lessThanOrEqual">
      <formula>F23</formula>
    </cfRule>
  </conditionalFormatting>
  <conditionalFormatting sqref="J8">
    <cfRule type="cellIs" dxfId="95" priority="81" operator="lessThanOrEqual">
      <formula>F8</formula>
    </cfRule>
  </conditionalFormatting>
  <conditionalFormatting sqref="K13">
    <cfRule type="cellIs" dxfId="94" priority="85" operator="lessThanOrEqual">
      <formula>G13</formula>
    </cfRule>
  </conditionalFormatting>
  <conditionalFormatting sqref="K14">
    <cfRule type="cellIs" dxfId="93" priority="90" operator="lessThanOrEqual">
      <formula>G14</formula>
    </cfRule>
  </conditionalFormatting>
  <conditionalFormatting sqref="K20">
    <cfRule type="cellIs" dxfId="92" priority="95" operator="lessThanOrEqual">
      <formula>G20</formula>
    </cfRule>
  </conditionalFormatting>
  <conditionalFormatting sqref="K21">
    <cfRule type="cellIs" dxfId="91" priority="100" operator="lessThanOrEqual">
      <formula>G21</formula>
    </cfRule>
  </conditionalFormatting>
  <conditionalFormatting sqref="K22">
    <cfRule type="cellIs" dxfId="90" priority="105" operator="lessThanOrEqual">
      <formula>G22</formula>
    </cfRule>
  </conditionalFormatting>
  <conditionalFormatting sqref="K23">
    <cfRule type="cellIs" dxfId="89" priority="110" operator="lessThanOrEqual">
      <formula>G23</formula>
    </cfRule>
  </conditionalFormatting>
  <conditionalFormatting sqref="K8">
    <cfRule type="cellIs" dxfId="88" priority="80" operator="lessThanOrEqual">
      <formula>G8</formula>
    </cfRule>
  </conditionalFormatting>
  <conditionalFormatting sqref="M14">
    <cfRule type="cellIs" dxfId="87" priority="118" operator="equal">
      <formula>0</formula>
    </cfRule>
    <cfRule type="cellIs" dxfId="86" priority="119" operator="lessThan">
      <formula>E14</formula>
    </cfRule>
  </conditionalFormatting>
  <conditionalFormatting sqref="M20">
    <cfRule type="cellIs" dxfId="85" priority="124" operator="equal">
      <formula>0</formula>
    </cfRule>
    <cfRule type="cellIs" dxfId="84" priority="125" operator="lessThan">
      <formula>E20</formula>
    </cfRule>
  </conditionalFormatting>
  <conditionalFormatting sqref="M21">
    <cfRule type="cellIs" dxfId="83" priority="130" operator="equal">
      <formula>0</formula>
    </cfRule>
    <cfRule type="cellIs" dxfId="82" priority="131" operator="lessThan">
      <formula>E21</formula>
    </cfRule>
  </conditionalFormatting>
  <conditionalFormatting sqref="M22">
    <cfRule type="cellIs" dxfId="81" priority="135" operator="equal">
      <formula>0</formula>
    </cfRule>
    <cfRule type="cellIs" dxfId="80" priority="136" operator="lessThan">
      <formula>E22</formula>
    </cfRule>
  </conditionalFormatting>
  <conditionalFormatting sqref="M8">
    <cfRule type="cellIs" dxfId="79" priority="112" operator="equal">
      <formula>0</formula>
    </cfRule>
    <cfRule type="cellIs" dxfId="78" priority="113" operator="lessThan">
      <formula>E8</formula>
    </cfRule>
  </conditionalFormatting>
  <conditionalFormatting sqref="N14">
    <cfRule type="expression" dxfId="77" priority="120">
      <formula>AND(N14&gt;0,N14&lt;10)</formula>
    </cfRule>
    <cfRule type="cellIs" dxfId="76" priority="121" operator="greaterThan">
      <formula>M14</formula>
    </cfRule>
  </conditionalFormatting>
  <conditionalFormatting sqref="N20">
    <cfRule type="expression" dxfId="75" priority="126">
      <formula>AND(N20&gt;0,N20&lt;5)</formula>
    </cfRule>
    <cfRule type="cellIs" dxfId="74" priority="127" operator="greaterThan">
      <formula>M20</formula>
    </cfRule>
  </conditionalFormatting>
  <conditionalFormatting sqref="N21">
    <cfRule type="cellIs" dxfId="73" priority="132" operator="greaterThan">
      <formula>M21</formula>
    </cfRule>
  </conditionalFormatting>
  <conditionalFormatting sqref="N22">
    <cfRule type="cellIs" dxfId="72" priority="137" operator="greaterThan">
      <formula>M22</formula>
    </cfRule>
  </conditionalFormatting>
  <conditionalFormatting sqref="N8">
    <cfRule type="expression" dxfId="71" priority="114">
      <formula>AND(N8&gt;0,N8&lt;10)</formula>
    </cfRule>
    <cfRule type="cellIs" dxfId="70" priority="115" operator="greaterThan">
      <formula>M8</formula>
    </cfRule>
  </conditionalFormatting>
  <conditionalFormatting sqref="O14">
    <cfRule type="cellIs" dxfId="69" priority="123" operator="lessThanOrEqual">
      <formula>F14</formula>
    </cfRule>
  </conditionalFormatting>
  <conditionalFormatting sqref="O20">
    <cfRule type="cellIs" dxfId="68" priority="129" operator="lessThanOrEqual">
      <formula>F20</formula>
    </cfRule>
  </conditionalFormatting>
  <conditionalFormatting sqref="O21">
    <cfRule type="cellIs" dxfId="67" priority="134" operator="lessThanOrEqual">
      <formula>F21</formula>
    </cfRule>
  </conditionalFormatting>
  <conditionalFormatting sqref="O22">
    <cfRule type="cellIs" dxfId="66" priority="139" operator="lessThanOrEqual">
      <formula>F22</formula>
    </cfRule>
  </conditionalFormatting>
  <conditionalFormatting sqref="O8">
    <cfRule type="cellIs" dxfId="65" priority="117" operator="lessThanOrEqual">
      <formula>F8</formula>
    </cfRule>
  </conditionalFormatting>
  <conditionalFormatting sqref="P14">
    <cfRule type="cellIs" dxfId="64" priority="122" operator="lessThanOrEqual">
      <formula>G14</formula>
    </cfRule>
  </conditionalFormatting>
  <conditionalFormatting sqref="P20">
    <cfRule type="cellIs" dxfId="63" priority="128" operator="lessThanOrEqual">
      <formula>G20</formula>
    </cfRule>
  </conditionalFormatting>
  <conditionalFormatting sqref="P21">
    <cfRule type="cellIs" dxfId="62" priority="133" operator="lessThanOrEqual">
      <formula>G21</formula>
    </cfRule>
  </conditionalFormatting>
  <conditionalFormatting sqref="P22">
    <cfRule type="cellIs" dxfId="61" priority="138" operator="lessThanOrEqual">
      <formula>G22</formula>
    </cfRule>
  </conditionalFormatting>
  <conditionalFormatting sqref="P8">
    <cfRule type="cellIs" dxfId="60" priority="116" operator="lessThanOrEqual">
      <formula>G8</formula>
    </cfRule>
  </conditionalFormatting>
  <conditionalFormatting sqref="R13">
    <cfRule type="cellIs" dxfId="59" priority="145" operator="equal">
      <formula>0</formula>
    </cfRule>
    <cfRule type="cellIs" dxfId="58" priority="146" operator="lessThan">
      <formula>E13</formula>
    </cfRule>
  </conditionalFormatting>
  <conditionalFormatting sqref="R14">
    <cfRule type="cellIs" dxfId="57" priority="150" operator="equal">
      <formula>0</formula>
    </cfRule>
    <cfRule type="cellIs" dxfId="56" priority="151" operator="lessThan">
      <formula>E14</formula>
    </cfRule>
  </conditionalFormatting>
  <conditionalFormatting sqref="R20">
    <cfRule type="cellIs" dxfId="55" priority="155" operator="equal">
      <formula>0</formula>
    </cfRule>
    <cfRule type="cellIs" dxfId="54" priority="156" operator="lessThan">
      <formula>E20</formula>
    </cfRule>
  </conditionalFormatting>
  <conditionalFormatting sqref="R21">
    <cfRule type="cellIs" dxfId="53" priority="160" operator="equal">
      <formula>0</formula>
    </cfRule>
    <cfRule type="cellIs" dxfId="52" priority="161" operator="lessThan">
      <formula>E21</formula>
    </cfRule>
  </conditionalFormatting>
  <conditionalFormatting sqref="R22">
    <cfRule type="cellIs" dxfId="51" priority="165" operator="equal">
      <formula>0</formula>
    </cfRule>
    <cfRule type="cellIs" dxfId="50" priority="166" operator="lessThan">
      <formula>E22</formula>
    </cfRule>
  </conditionalFormatting>
  <conditionalFormatting sqref="R23">
    <cfRule type="cellIs" dxfId="49" priority="170" operator="equal">
      <formula>0</formula>
    </cfRule>
    <cfRule type="cellIs" dxfId="48" priority="171" operator="lessThan">
      <formula>E23</formula>
    </cfRule>
  </conditionalFormatting>
  <conditionalFormatting sqref="R8">
    <cfRule type="cellIs" dxfId="47" priority="140" operator="equal">
      <formula>0</formula>
    </cfRule>
    <cfRule type="cellIs" dxfId="46" priority="141" operator="lessThan">
      <formula>E8</formula>
    </cfRule>
  </conditionalFormatting>
  <conditionalFormatting sqref="S13">
    <cfRule type="cellIs" dxfId="45" priority="147" operator="greaterThan">
      <formula>R13</formula>
    </cfRule>
  </conditionalFormatting>
  <conditionalFormatting sqref="S14">
    <cfRule type="cellIs" dxfId="44" priority="152" operator="greaterThan">
      <formula>R14</formula>
    </cfRule>
  </conditionalFormatting>
  <conditionalFormatting sqref="S20">
    <cfRule type="cellIs" dxfId="43" priority="157" operator="greaterThan">
      <formula>R20</formula>
    </cfRule>
  </conditionalFormatting>
  <conditionalFormatting sqref="S21">
    <cfRule type="cellIs" dxfId="42" priority="162" operator="greaterThan">
      <formula>R21</formula>
    </cfRule>
  </conditionalFormatting>
  <conditionalFormatting sqref="S22">
    <cfRule type="cellIs" dxfId="41" priority="167" operator="greaterThan">
      <formula>R22</formula>
    </cfRule>
  </conditionalFormatting>
  <conditionalFormatting sqref="S23">
    <cfRule type="cellIs" dxfId="40" priority="172" operator="greaterThan">
      <formula>R23</formula>
    </cfRule>
  </conditionalFormatting>
  <conditionalFormatting sqref="S8">
    <cfRule type="cellIs" dxfId="39" priority="142" operator="greaterThan">
      <formula>R8</formula>
    </cfRule>
  </conditionalFormatting>
  <conditionalFormatting sqref="T13">
    <cfRule type="cellIs" dxfId="38" priority="149" operator="lessThanOrEqual">
      <formula>F13</formula>
    </cfRule>
  </conditionalFormatting>
  <conditionalFormatting sqref="T14">
    <cfRule type="cellIs" dxfId="37" priority="154" operator="lessThanOrEqual">
      <formula>F14</formula>
    </cfRule>
  </conditionalFormatting>
  <conditionalFormatting sqref="T20">
    <cfRule type="cellIs" dxfId="36" priority="159" operator="lessThanOrEqual">
      <formula>F20</formula>
    </cfRule>
  </conditionalFormatting>
  <conditionalFormatting sqref="T21">
    <cfRule type="cellIs" dxfId="35" priority="164" operator="lessThanOrEqual">
      <formula>F21</formula>
    </cfRule>
  </conditionalFormatting>
  <conditionalFormatting sqref="T22">
    <cfRule type="cellIs" dxfId="34" priority="169" operator="lessThanOrEqual">
      <formula>F22</formula>
    </cfRule>
  </conditionalFormatting>
  <conditionalFormatting sqref="T23">
    <cfRule type="cellIs" dxfId="33" priority="174" operator="lessThanOrEqual">
      <formula>F23</formula>
    </cfRule>
  </conditionalFormatting>
  <conditionalFormatting sqref="T8">
    <cfRule type="cellIs" dxfId="32" priority="144" operator="lessThanOrEqual">
      <formula>F8</formula>
    </cfRule>
  </conditionalFormatting>
  <conditionalFormatting sqref="U13">
    <cfRule type="cellIs" dxfId="31" priority="148" operator="lessThanOrEqual">
      <formula>G13</formula>
    </cfRule>
  </conditionalFormatting>
  <conditionalFormatting sqref="U14">
    <cfRule type="cellIs" dxfId="30" priority="153" operator="lessThanOrEqual">
      <formula>G14</formula>
    </cfRule>
  </conditionalFormatting>
  <conditionalFormatting sqref="U20">
    <cfRule type="cellIs" dxfId="29" priority="158" operator="lessThanOrEqual">
      <formula>G20</formula>
    </cfRule>
  </conditionalFormatting>
  <conditionalFormatting sqref="U21">
    <cfRule type="cellIs" dxfId="28" priority="163" operator="lessThanOrEqual">
      <formula>G21</formula>
    </cfRule>
  </conditionalFormatting>
  <conditionalFormatting sqref="U22">
    <cfRule type="cellIs" dxfId="27" priority="168" operator="lessThanOrEqual">
      <formula>G22</formula>
    </cfRule>
  </conditionalFormatting>
  <conditionalFormatting sqref="U23">
    <cfRule type="cellIs" dxfId="26" priority="173" operator="lessThanOrEqual">
      <formula>G23</formula>
    </cfRule>
  </conditionalFormatting>
  <conditionalFormatting sqref="U8">
    <cfRule type="cellIs" dxfId="25" priority="143" operator="lessThanOrEqual">
      <formula>G8</formula>
    </cfRule>
  </conditionalFormatting>
  <conditionalFormatting sqref="W13">
    <cfRule type="cellIs" dxfId="24" priority="180" operator="equal">
      <formula>0</formula>
    </cfRule>
    <cfRule type="cellIs" dxfId="23" priority="181" operator="lessThan">
      <formula>E13</formula>
    </cfRule>
  </conditionalFormatting>
  <conditionalFormatting sqref="W14">
    <cfRule type="cellIs" dxfId="22" priority="185" operator="equal">
      <formula>0</formula>
    </cfRule>
    <cfRule type="cellIs" dxfId="21" priority="186" operator="lessThan">
      <formula>E14</formula>
    </cfRule>
  </conditionalFormatting>
  <conditionalFormatting sqref="W20">
    <cfRule type="cellIs" dxfId="20" priority="190" operator="equal">
      <formula>0</formula>
    </cfRule>
    <cfRule type="cellIs" dxfId="19" priority="191" operator="lessThan">
      <formula>E20</formula>
    </cfRule>
  </conditionalFormatting>
  <conditionalFormatting sqref="W21">
    <cfRule type="cellIs" dxfId="18" priority="195" operator="equal">
      <formula>0</formula>
    </cfRule>
    <cfRule type="cellIs" dxfId="17" priority="196" operator="lessThan">
      <formula>E21</formula>
    </cfRule>
  </conditionalFormatting>
  <conditionalFormatting sqref="W8">
    <cfRule type="cellIs" dxfId="16" priority="175" operator="equal">
      <formula>0</formula>
    </cfRule>
    <cfRule type="cellIs" dxfId="15" priority="176" operator="lessThan">
      <formula>E8</formula>
    </cfRule>
  </conditionalFormatting>
  <conditionalFormatting sqref="X13">
    <cfRule type="cellIs" dxfId="14" priority="182" operator="greaterThan">
      <formula>W13</formula>
    </cfRule>
  </conditionalFormatting>
  <conditionalFormatting sqref="X14">
    <cfRule type="cellIs" dxfId="13" priority="187" operator="greaterThan">
      <formula>W14</formula>
    </cfRule>
  </conditionalFormatting>
  <conditionalFormatting sqref="X20">
    <cfRule type="cellIs" dxfId="12" priority="192" operator="greaterThan">
      <formula>W20</formula>
    </cfRule>
  </conditionalFormatting>
  <conditionalFormatting sqref="X21">
    <cfRule type="cellIs" dxfId="11" priority="197" operator="greaterThan">
      <formula>W21</formula>
    </cfRule>
  </conditionalFormatting>
  <conditionalFormatting sqref="X8">
    <cfRule type="cellIs" dxfId="10" priority="177" operator="greaterThan">
      <formula>W8</formula>
    </cfRule>
  </conditionalFormatting>
  <conditionalFormatting sqref="Y13">
    <cfRule type="cellIs" dxfId="9" priority="184" operator="lessThanOrEqual">
      <formula>F13</formula>
    </cfRule>
  </conditionalFormatting>
  <conditionalFormatting sqref="Y14">
    <cfRule type="cellIs" dxfId="8" priority="189" operator="lessThanOrEqual">
      <formula>F14</formula>
    </cfRule>
  </conditionalFormatting>
  <conditionalFormatting sqref="Y20">
    <cfRule type="cellIs" dxfId="7" priority="194" operator="lessThanOrEqual">
      <formula>F20</formula>
    </cfRule>
  </conditionalFormatting>
  <conditionalFormatting sqref="Y21">
    <cfRule type="cellIs" dxfId="6" priority="199" operator="lessThanOrEqual">
      <formula>F21</formula>
    </cfRule>
  </conditionalFormatting>
  <conditionalFormatting sqref="Y8">
    <cfRule type="cellIs" dxfId="5" priority="179" operator="lessThanOrEqual">
      <formula>F8</formula>
    </cfRule>
  </conditionalFormatting>
  <conditionalFormatting sqref="Z13">
    <cfRule type="cellIs" dxfId="4" priority="183" operator="lessThanOrEqual">
      <formula>G13</formula>
    </cfRule>
  </conditionalFormatting>
  <conditionalFormatting sqref="Z14">
    <cfRule type="cellIs" dxfId="3" priority="188" operator="lessThanOrEqual">
      <formula>G14</formula>
    </cfRule>
  </conditionalFormatting>
  <conditionalFormatting sqref="Z20">
    <cfRule type="cellIs" dxfId="2" priority="193" operator="lessThanOrEqual">
      <formula>G20</formula>
    </cfRule>
  </conditionalFormatting>
  <conditionalFormatting sqref="Z21">
    <cfRule type="cellIs" dxfId="1" priority="198" operator="lessThanOrEqual">
      <formula>G21</formula>
    </cfRule>
  </conditionalFormatting>
  <conditionalFormatting sqref="Z8">
    <cfRule type="cellIs" dxfId="0" priority="178" operator="lessThanOrEqual">
      <formula>G8</formula>
    </cfRule>
  </conditionalFormatting>
  <hyperlinks>
    <hyperlink ref="L8" r:id="rId1" xr:uid="{00000000-0004-0000-0000-000000000000}"/>
    <hyperlink ref="Q8" r:id="rId2" xr:uid="{00000000-0004-0000-0000-000001000000}"/>
    <hyperlink ref="V8" r:id="rId3" xr:uid="{00000000-0004-0000-0000-000002000000}"/>
    <hyperlink ref="AA8" r:id="rId4" xr:uid="{00000000-0004-0000-0000-000003000000}"/>
    <hyperlink ref="AF8" r:id="rId5" xr:uid="{00000000-0004-0000-0000-000004000000}"/>
    <hyperlink ref="L13" r:id="rId6" xr:uid="{00000000-0004-0000-0000-000005000000}"/>
    <hyperlink ref="V13" r:id="rId7" xr:uid="{00000000-0004-0000-0000-000006000000}"/>
    <hyperlink ref="AA13" r:id="rId8" xr:uid="{00000000-0004-0000-0000-000007000000}"/>
    <hyperlink ref="L14" r:id="rId9" xr:uid="{00000000-0004-0000-0000-000008000000}"/>
    <hyperlink ref="Q14" r:id="rId10" xr:uid="{00000000-0004-0000-0000-000009000000}"/>
    <hyperlink ref="V14" r:id="rId11" xr:uid="{00000000-0004-0000-0000-00000A000000}"/>
    <hyperlink ref="AA14" r:id="rId12" xr:uid="{00000000-0004-0000-0000-00000B000000}"/>
    <hyperlink ref="AF14" r:id="rId13" xr:uid="{00000000-0004-0000-0000-00000C000000}"/>
    <hyperlink ref="D20" r:id="rId14" xr:uid="{00000000-0004-0000-0000-00000D000000}"/>
    <hyperlink ref="L20" r:id="rId15" xr:uid="{00000000-0004-0000-0000-00000E000000}"/>
    <hyperlink ref="Q20" r:id="rId16" xr:uid="{00000000-0004-0000-0000-00000F000000}"/>
    <hyperlink ref="V20" r:id="rId17" xr:uid="{00000000-0004-0000-0000-000010000000}"/>
    <hyperlink ref="AA20" r:id="rId18" xr:uid="{00000000-0004-0000-0000-000011000000}"/>
    <hyperlink ref="AF20" r:id="rId19" xr:uid="{00000000-0004-0000-0000-000012000000}"/>
    <hyperlink ref="D21" r:id="rId20" xr:uid="{00000000-0004-0000-0000-000013000000}"/>
    <hyperlink ref="L21" r:id="rId21" xr:uid="{00000000-0004-0000-0000-000014000000}"/>
    <hyperlink ref="Q21" r:id="rId22" xr:uid="{00000000-0004-0000-0000-000015000000}"/>
    <hyperlink ref="V21" r:id="rId23" xr:uid="{00000000-0004-0000-0000-000016000000}"/>
    <hyperlink ref="AA21" r:id="rId24" xr:uid="{00000000-0004-0000-0000-000017000000}"/>
    <hyperlink ref="D22" r:id="rId25" xr:uid="{00000000-0004-0000-0000-000018000000}"/>
    <hyperlink ref="L22" r:id="rId26" xr:uid="{00000000-0004-0000-0000-000019000000}"/>
    <hyperlink ref="Q22" r:id="rId27" xr:uid="{00000000-0004-0000-0000-00001A000000}"/>
    <hyperlink ref="V22" r:id="rId28" xr:uid="{00000000-0004-0000-0000-00001B000000}"/>
    <hyperlink ref="AF22" r:id="rId29" xr:uid="{00000000-0004-0000-0000-00001C000000}"/>
    <hyperlink ref="D23" r:id="rId30" xr:uid="{00000000-0004-0000-0000-00001D000000}"/>
    <hyperlink ref="L23" r:id="rId31" xr:uid="{00000000-0004-0000-0000-00001E000000}"/>
    <hyperlink ref="V23" r:id="rId32" xr:uid="{00000000-0004-0000-0000-00001F000000}"/>
    <hyperlink ref="D24" r:id="rId33" xr:uid="{00000000-0004-0000-0000-000020000000}"/>
    <hyperlink ref="D25" r:id="rId34" xr:uid="{00000000-0004-0000-0000-000021000000}"/>
  </hyperlinks>
  <pageMargins left="0.7" right="0.7" top="0.75" bottom="0.75" header="0.3" footer="0.3"/>
  <legacy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EQMOD_DIRECT_Isolated.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PURCHASE_DESCRIPTION</vt:lpstr>
      <vt:lpstr>rs_part_data</vt:lpstr>
      <vt:lpstr>TotalCost</vt:lpstr>
      <vt:lpstr>USD_GBP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Arena</dc:creator>
  <cp:lastModifiedBy>Claudio Arena</cp:lastModifiedBy>
  <dcterms:created xsi:type="dcterms:W3CDTF">2020-10-20T17:43:43Z</dcterms:created>
  <dcterms:modified xsi:type="dcterms:W3CDTF">2020-10-20T17:59:06Z</dcterms:modified>
</cp:coreProperties>
</file>