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un\Desktop\Data Analytics\Module 1\"/>
    </mc:Choice>
  </mc:AlternateContent>
  <xr:revisionPtr revIDLastSave="0" documentId="13_ncr:1_{E051BC79-92AA-422D-B83B-B53ED66D59A8}" xr6:coauthVersionLast="47" xr6:coauthVersionMax="47" xr10:uidLastSave="{00000000-0000-0000-0000-000000000000}"/>
  <bookViews>
    <workbookView xWindow="-110" yWindow="-110" windowWidth="19420" windowHeight="10300" tabRatio="787" xr2:uid="{00000000-000D-0000-FFFF-FFFF00000000}"/>
  </bookViews>
  <sheets>
    <sheet name="Crowdfunding" sheetId="1" r:id="rId1"/>
    <sheet name="Parent Category Pivot " sheetId="2" r:id="rId2"/>
    <sheet name="SubCategory Pivot" sheetId="3" r:id="rId3"/>
    <sheet name="Date Created Pivot" sheetId="6" r:id="rId4"/>
    <sheet name="Crowfunding Analysis" sheetId="7" r:id="rId5"/>
    <sheet name="Stat Analysis" sheetId="8" r:id="rId6"/>
  </sheets>
  <definedNames>
    <definedName name="_xlnm._FilterDatabase" localSheetId="0" hidden="1">Crowdfunding!$A$1:$O$1001</definedName>
  </definedNames>
  <calcPr calcId="191029"/>
  <pivotCaches>
    <pivotCache cacheId="0" r:id="rId7"/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8" l="1"/>
  <c r="L4" i="8"/>
  <c r="E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I2" i="8"/>
  <c r="I6" i="8"/>
  <c r="J7" i="8" l="1"/>
  <c r="J6" i="8"/>
  <c r="J5" i="8"/>
  <c r="J4" i="8"/>
  <c r="J3" i="8"/>
  <c r="J2" i="8"/>
  <c r="I7" i="8"/>
  <c r="I5" i="8"/>
  <c r="I4" i="8"/>
  <c r="I3" i="8"/>
  <c r="E13" i="7"/>
  <c r="E12" i="7"/>
  <c r="E11" i="7"/>
  <c r="E10" i="7"/>
  <c r="E9" i="7"/>
  <c r="E8" i="7"/>
  <c r="E7" i="7"/>
  <c r="E6" i="7"/>
  <c r="E5" i="7"/>
  <c r="E4" i="7"/>
  <c r="E3" i="7"/>
  <c r="D13" i="7"/>
  <c r="D12" i="7"/>
  <c r="D11" i="7"/>
  <c r="D10" i="7"/>
  <c r="D9" i="7"/>
  <c r="D8" i="7"/>
  <c r="D7" i="7"/>
  <c r="D6" i="7"/>
  <c r="D5" i="7"/>
  <c r="D4" i="7"/>
  <c r="D3" i="7"/>
  <c r="D2" i="7"/>
  <c r="C4" i="7"/>
  <c r="C9" i="7"/>
  <c r="C6" i="7"/>
  <c r="C12" i="7"/>
  <c r="C11" i="7"/>
  <c r="C10" i="7"/>
  <c r="C8" i="7"/>
  <c r="C7" i="7"/>
  <c r="C5" i="7"/>
  <c r="C3" i="7"/>
  <c r="C13" i="7"/>
  <c r="C2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F9" i="7" l="1"/>
  <c r="G9" i="7" s="1"/>
  <c r="F5" i="7"/>
  <c r="F10" i="7"/>
  <c r="H10" i="7" s="1"/>
  <c r="F3" i="7"/>
  <c r="I3" i="7" s="1"/>
  <c r="F6" i="7"/>
  <c r="H6" i="7" s="1"/>
  <c r="F11" i="7"/>
  <c r="H11" i="7" s="1"/>
  <c r="F7" i="7"/>
  <c r="G7" i="7" s="1"/>
  <c r="F4" i="7"/>
  <c r="H4" i="7" s="1"/>
  <c r="F12" i="7"/>
  <c r="I12" i="7" s="1"/>
  <c r="F13" i="7"/>
  <c r="F8" i="7"/>
  <c r="G8" i="7" s="1"/>
  <c r="F2" i="7"/>
  <c r="G2" i="7" s="1"/>
  <c r="H2" i="7" l="1"/>
  <c r="I4" i="7"/>
  <c r="H7" i="7"/>
  <c r="I13" i="7"/>
  <c r="H13" i="7"/>
  <c r="G11" i="7"/>
  <c r="I11" i="7"/>
  <c r="I9" i="7"/>
  <c r="H9" i="7"/>
  <c r="I2" i="7"/>
  <c r="H12" i="7"/>
  <c r="G10" i="7"/>
  <c r="I7" i="7"/>
  <c r="H3" i="7"/>
  <c r="I10" i="7"/>
  <c r="G12" i="7"/>
  <c r="I5" i="7"/>
  <c r="G5" i="7"/>
  <c r="H5" i="7"/>
  <c r="H8" i="7"/>
  <c r="G3" i="7"/>
  <c r="G6" i="7"/>
  <c r="G13" i="7"/>
  <c r="G4" i="7"/>
  <c r="I8" i="7"/>
  <c r="I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<sst xmlns="http://schemas.openxmlformats.org/spreadsheetml/2006/main" count="7060" uniqueCount="2115">
  <si>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</si>
  <si>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</si>
  <si>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</si>
  <si>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</si>
  <si>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</si>
  <si>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</si>
  <si>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</si>
  <si>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</si>
  <si>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</si>
  <si>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</si>
  <si>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</si>
  <si>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</si>
  <si>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</si>
  <si>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</si>
  <si>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</si>
  <si>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</si>
  <si>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</si>
  <si>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</si>
  <si>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</si>
  <si>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</si>
  <si>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</si>
  <si>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</si>
  <si>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</si>
  <si>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</si>
  <si>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</si>
  <si>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</si>
  <si>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</si>
  <si>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</si>
  <si>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</si>
  <si>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</si>
  <si>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</si>
  <si>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</si>
  <si>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</si>
  <si>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</si>
  <si>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</si>
  <si>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</si>
  <si>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</si>
  <si>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</si>
  <si>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</si>
  <si>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</si>
  <si>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</si>
  <si>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</si>
  <si>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</si>
  <si>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</si>
  <si>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</si>
  <si>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</si>
  <si>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</si>
  <si>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</si>
  <si>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</si>
  <si>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</si>
  <si>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</si>
  <si>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</si>
  <si>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</si>
  <si>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</si>
  <si>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</si>
  <si>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</si>
  <si>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</si>
  <si>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</si>
  <si>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</si>
  <si>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</si>
  <si>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</si>
  <si>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</si>
  <si>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</si>
  <si>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</si>
  <si>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</si>
  <si>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</si>
  <si>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</si>
  <si>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</si>
  <si>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</si>
  <si>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</si>
  <si>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</si>
  <si>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</si>
  <si>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</si>
  <si>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</si>
  <si>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</si>
  <si>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</si>
  <si>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</si>
  <si>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</si>
  <si>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</si>
  <si>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</si>
  <si>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</si>
  <si>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</si>
  <si>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</si>
  <si>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</si>
  <si>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</si>
  <si>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</si>
  <si>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</si>
  <si>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</si>
  <si>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</si>
  <si>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</si>
  <si>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</si>
  <si>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</si>
  <si>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</si>
  <si>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</si>
  <si>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</si>
  <si>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</si>
  <si>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</si>
  <si>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</si>
  <si>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</si>
  <si>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</si>
  <si>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</si>
  <si>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</si>
  <si>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</si>
  <si>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</si>
  <si>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</si>
  <si>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</si>
  <si>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</si>
  <si>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</si>
  <si>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</si>
  <si>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</si>
  <si>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</si>
  <si>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</si>
  <si>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</si>
  <si>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</si>
  <si>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</si>
  <si>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</si>
  <si>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</si>
  <si>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</si>
  <si>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</si>
  <si>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</si>
  <si>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</si>
  <si>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</si>
  <si>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</si>
  <si>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</si>
  <si>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</si>
  <si>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</si>
  <si>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</si>
  <si>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</si>
  <si>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</si>
  <si>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</si>
  <si>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</si>
  <si>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</si>
  <si>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</si>
  <si>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</si>
  <si>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</si>
  <si>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</si>
  <si>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</si>
  <si>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</si>
  <si>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</si>
  <si>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</si>
  <si>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</si>
  <si>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</si>
  <si>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</si>
  <si>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</si>
  <si>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</si>
  <si>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</si>
  <si>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</si>
  <si>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</si>
  <si>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</si>
  <si>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</si>
  <si>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</si>
  <si>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</si>
  <si>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</si>
  <si>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</si>
  <si>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</si>
  <si>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</si>
  <si>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</si>
  <si>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</si>
  <si>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</si>
  <si>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</si>
  <si>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</si>
  <si>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</si>
  <si>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</si>
  <si>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</si>
  <si>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</si>
  <si>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</si>
  <si>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</si>
  <si>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</si>
  <si>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</si>
  <si>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</si>
  <si>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</si>
  <si>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</si>
  <si>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</si>
  <si>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</si>
  <si>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</si>
  <si>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</si>
  <si>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</si>
  <si>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</si>
  <si>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</si>
  <si>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</si>
  <si>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</si>
  <si>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</si>
  <si>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</si>
  <si>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</si>
  <si>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</si>
  <si>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</si>
  <si>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</si>
  <si>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</si>
  <si>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</si>
  <si>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</si>
  <si>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</si>
  <si>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</si>
  <si>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</si>
  <si>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</si>
  <si>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</si>
  <si>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</si>
  <si>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</si>
  <si>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</si>
  <si>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</si>
  <si>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</si>
  <si>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</si>
  <si>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</si>
  <si>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</si>
  <si>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</si>
  <si>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</si>
  <si>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</si>
  <si>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</si>
  <si>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</si>
  <si>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</si>
  <si>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</si>
  <si>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</si>
  <si>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</si>
  <si>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</si>
  <si>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</si>
  <si>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</si>
  <si>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</si>
  <si>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</si>
  <si>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</si>
  <si>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</si>
  <si>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</si>
  <si>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</si>
  <si>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</si>
  <si>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</si>
  <si>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</si>
  <si>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</si>
  <si>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</si>
  <si>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</si>
  <si>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</si>
  <si>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</si>
  <si>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</si>
  <si>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</si>
  <si>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</si>
  <si>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</si>
  <si>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</si>
  <si>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</si>
  <si>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</si>
  <si>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</si>
  <si>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</si>
  <si>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</si>
  <si>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</si>
  <si>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</si>
  <si>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</si>
  <si>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</si>
  <si>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</si>
  <si>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</si>
  <si>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</si>
  <si>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</si>
  <si>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</si>
  <si>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</si>
  <si>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</si>
  <si>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</si>
  <si>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</si>
  <si>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</si>
  <si>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</si>
  <si>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</si>
  <si>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</si>
  <si>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</si>
  <si>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</si>
  <si>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</si>
  <si>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</si>
  <si>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</si>
  <si>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</si>
  <si>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</si>
  <si>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</si>
  <si>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</si>
  <si>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</si>
  <si>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</si>
  <si>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</si>
  <si>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</si>
  <si>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</si>
  <si>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</si>
  <si>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</si>
  <si>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</si>
  <si>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</si>
  <si>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</si>
  <si>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</si>
  <si>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</si>
  <si>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</si>
  <si>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</si>
  <si>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</si>
  <si>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</si>
  <si>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</si>
  <si>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</si>
  <si>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</si>
  <si>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</si>
  <si>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</si>
  <si>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</si>
  <si>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</si>
  <si>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</si>
  <si>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</si>
  <si>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</si>
  <si>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</si>
  <si>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</si>
  <si>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</si>
  <si>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</si>
  <si>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</si>
  <si>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</si>
  <si>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</si>
  <si>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</si>
  <si>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</si>
  <si>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</si>
  <si>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</si>
  <si>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</si>
  <si>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</si>
  <si>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</si>
  <si>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</si>
  <si>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</si>
  <si>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</si>
  <si>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</si>
  <si>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</si>
  <si>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</si>
  <si>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</si>
  <si>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</si>
  <si>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</si>
  <si>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</si>
  <si>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</si>
  <si>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</si>
  <si>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</si>
  <si>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</si>
  <si>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</si>
  <si>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</si>
  <si>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</si>
  <si>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</si>
  <si>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</si>
  <si>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</si>
  <si>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</si>
  <si>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</si>
  <si>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</si>
  <si>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</si>
  <si>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</si>
  <si>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</si>
  <si>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</si>
  <si>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</si>
  <si>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</si>
  <si>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</si>
  <si>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</si>
  <si>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</si>
  <si>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</si>
  <si>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</si>
  <si>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</si>
  <si>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</si>
  <si>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</si>
  <si>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</si>
  <si>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</si>
  <si>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</si>
  <si>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</si>
  <si>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</si>
  <si>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</si>
  <si>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</si>
  <si>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</si>
  <si>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</si>
  <si>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</si>
  <si>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</si>
  <si>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</si>
  <si>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</si>
  <si>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</si>
  <si>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</si>
  <si>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</si>
  <si>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</si>
  <si>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</si>
  <si>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</si>
  <si>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</si>
  <si>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</si>
  <si>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</si>
  <si>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</si>
  <si>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</si>
  <si>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</si>
  <si>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</si>
  <si>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</si>
  <si>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</si>
  <si>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</si>
  <si>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</si>
  <si>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</si>
  <si>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</si>
  <si>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</si>
  <si>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</si>
  <si>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</si>
  <si>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</si>
  <si>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</si>
  <si>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</si>
  <si>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</si>
  <si>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</si>
  <si>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</si>
  <si>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</si>
  <si>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</si>
  <si>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</si>
  <si>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</si>
  <si>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</si>
  <si>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</si>
  <si>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</si>
  <si>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</si>
  <si>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</si>
  <si>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</si>
  <si>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</si>
  <si>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</si>
  <si>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</si>
  <si>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</si>
  <si>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</si>
  <si>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</si>
  <si>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</si>
  <si>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</si>
  <si>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</si>
  <si>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</si>
  <si>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</si>
  <si>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</si>
  <si>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</si>
  <si>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</si>
  <si>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</si>
  <si>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</si>
  <si>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</si>
  <si>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</si>
  <si>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</si>
  <si>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</si>
  <si>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</si>
  <si>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</si>
  <si>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</si>
  <si>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</si>
  <si>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</si>
  <si>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</si>
  <si>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</si>
  <si>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</si>
  <si>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</si>
  <si>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</si>
  <si>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</si>
  <si>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</si>
  <si>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</si>
  <si>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</si>
  <si>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</si>
  <si>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</si>
  <si>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</si>
  <si>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</si>
  <si>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</si>
  <si>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</si>
  <si>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</si>
  <si>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</si>
  <si>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</si>
  <si>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</si>
  <si>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</si>
  <si>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</si>
  <si>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</si>
  <si>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</si>
  <si>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</si>
  <si>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</si>
  <si>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</si>
  <si>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</si>
  <si>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</si>
  <si>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</si>
  <si>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</si>
  <si>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</si>
  <si>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</si>
  <si>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</si>
  <si>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</si>
  <si>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</si>
  <si>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</si>
  <si>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</si>
  <si>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</si>
  <si>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</si>
  <si>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</si>
  <si>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</si>
  <si>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</si>
  <si>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</si>
  <si>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</si>
  <si>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</si>
  <si>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</si>
  <si>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</si>
  <si>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</si>
  <si>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</si>
  <si>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</si>
  <si>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</si>
  <si>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</si>
  <si>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</si>
  <si>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</si>
  <si>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</si>
  <si>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</si>
  <si>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</si>
  <si>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</si>
  <si>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</si>
  <si>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</si>
  <si>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</si>
  <si>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</si>
  <si>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</si>
  <si>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</si>
  <si>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</si>
  <si>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</si>
  <si>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</si>
  <si>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</si>
  <si>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</si>
  <si>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</si>
  <si>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</si>
  <si>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</si>
  <si>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</si>
  <si>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</si>
  <si>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</si>
  <si>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</si>
  <si>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</si>
  <si>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</si>
  <si>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</si>
  <si>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</si>
  <si>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</si>
  <si>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</si>
  <si>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</si>
  <si>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</si>
  <si>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</si>
  <si>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</si>
  <si>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</si>
  <si>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</si>
  <si>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</si>
  <si>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</si>
  <si>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</si>
  <si>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</si>
  <si>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</si>
  <si>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</si>
  <si>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</si>
  <si>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</si>
  <si>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</si>
  <si>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</si>
  <si>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</si>
  <si>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</si>
  <si>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</si>
  <si>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</si>
  <si>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</si>
  <si>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</si>
  <si>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</si>
  <si>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</si>
  <si>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</si>
  <si>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</si>
  <si>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</si>
  <si>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</si>
  <si>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</si>
  <si>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</si>
  <si>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</si>
  <si>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</si>
  <si>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</si>
  <si>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</si>
  <si>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</si>
  <si>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</si>
  <si>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</si>
  <si>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</si>
  <si>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</si>
  <si>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</si>
  <si>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</si>
  <si>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</si>
  <si>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</si>
  <si>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</si>
  <si>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</si>
  <si>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</si>
  <si>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</si>
  <si>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</si>
  <si>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</si>
  <si>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</si>
  <si>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</si>
  <si>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</si>
  <si>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</si>
  <si>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</si>
  <si>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</si>
  <si>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</si>
  <si>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</si>
  <si>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</si>
  <si>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</si>
  <si>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</si>
  <si>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</si>
  <si>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</si>
  <si>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</si>
  <si>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</si>
  <si>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</si>
  <si>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</si>
  <si>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</si>
  <si>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</si>
  <si>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</si>
  <si>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</si>
  <si>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</si>
  <si>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</si>
  <si>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</si>
  <si>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</si>
  <si>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</si>
  <si>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</si>
  <si>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</si>
  <si>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</si>
  <si>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</si>
  <si>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</si>
  <si>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</si>
  <si>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</si>
  <si>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</si>
  <si>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</si>
  <si>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</si>
  <si>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</si>
  <si>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</si>
  <si>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</si>
  <si>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</si>
  <si>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</si>
  <si>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</si>
  <si>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</si>
  <si>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</si>
  <si>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</si>
  <si>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</si>
  <si>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</si>
  <si>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</si>
  <si>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</si>
  <si>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</si>
  <si>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</si>
  <si>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</si>
  <si>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</si>
  <si>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</si>
  <si>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</si>
  <si>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</si>
  <si>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</si>
  <si>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</si>
  <si>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</si>
  <si>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</si>
  <si>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</si>
  <si>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</si>
  <si>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</si>
  <si>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</si>
  <si>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</si>
  <si>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</si>
  <si>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</si>
  <si>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</si>
  <si>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</si>
  <si>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</si>
  <si>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</si>
  <si>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</si>
  <si>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</si>
  <si>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</si>
  <si>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</si>
  <si>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</si>
  <si>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</si>
  <si>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</si>
  <si>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</si>
  <si>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</si>
  <si>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</si>
  <si>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</si>
  <si>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</si>
  <si>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</si>
  <si>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</si>
  <si>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</si>
  <si>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</si>
  <si>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</si>
  <si>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</si>
  <si>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</si>
  <si>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</si>
  <si>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</si>
  <si>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</si>
  <si>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</si>
  <si>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</si>
  <si>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</si>
  <si>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</si>
  <si>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</si>
  <si>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</si>
  <si>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</si>
  <si>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</si>
  <si>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</si>
  <si>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</si>
  <si>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</si>
  <si>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</si>
  <si>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</si>
  <si>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</si>
  <si>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</si>
  <si>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</si>
  <si>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</si>
  <si>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</si>
  <si>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</si>
  <si>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</si>
  <si>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</si>
  <si>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</si>
  <si>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</si>
  <si>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</si>
  <si>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</si>
  <si>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</si>
  <si>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</si>
  <si>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</si>
  <si>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</si>
  <si>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</si>
  <si>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</si>
  <si>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</si>
  <si>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</si>
  <si>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</si>
  <si>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</si>
  <si>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</si>
  <si>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</si>
  <si>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</si>
  <si>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</si>
  <si>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</si>
  <si>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</si>
  <si>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</si>
  <si>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</si>
  <si>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</si>
  <si>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</si>
  <si>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</si>
  <si>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</si>
  <si>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</si>
  <si>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</si>
  <si>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</si>
  <si>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</si>
  <si>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</si>
  <si>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</si>
  <si>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</si>
  <si>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</si>
  <si>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</si>
  <si>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</si>
  <si>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</si>
  <si>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</si>
  <si>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</si>
  <si>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</si>
  <si>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</si>
  <si>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</si>
  <si>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</si>
  <si>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</si>
  <si>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</si>
  <si>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</si>
  <si>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</si>
  <si>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</si>
  <si>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</si>
  <si>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</si>
  <si>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</si>
  <si>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</si>
  <si>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</si>
  <si>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</si>
  <si>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</si>
  <si>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</si>
  <si>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</si>
  <si>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</si>
  <si>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</si>
  <si>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</si>
  <si>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</si>
  <si>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</si>
  <si>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</si>
  <si>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</si>
  <si>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</si>
  <si>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</si>
  <si>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</si>
  <si>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</si>
  <si>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</si>
  <si>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</si>
  <si>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</si>
  <si>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</si>
  <si>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</si>
  <si>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</si>
  <si>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</si>
  <si>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</si>
  <si>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</si>
  <si>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</si>
  <si>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</si>
  <si>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</si>
  <si>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</si>
  <si>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</si>
  <si>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</si>
  <si>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</si>
  <si>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</si>
  <si>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</si>
  <si>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</si>
  <si>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</si>
  <si>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</si>
  <si>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</si>
  <si>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</si>
  <si>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</si>
  <si>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</si>
  <si>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</si>
  <si>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</si>
  <si>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</si>
  <si>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</si>
  <si>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</si>
  <si>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</si>
  <si>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</si>
  <si>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</si>
  <si>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</si>
  <si>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</si>
  <si>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</si>
  <si>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</si>
  <si>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</si>
  <si>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</si>
  <si>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</si>
  <si>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</si>
  <si>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</si>
  <si>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</si>
  <si>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</si>
  <si>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</si>
  <si>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</si>
  <si>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</si>
  <si>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</si>
  <si>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</si>
  <si>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</si>
  <si>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</si>
  <si>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</si>
  <si>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</si>
  <si>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</si>
  <si>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</si>
  <si>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</si>
  <si>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</si>
  <si>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</si>
  <si>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</si>
  <si>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</si>
  <si>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</si>
  <si>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</si>
  <si>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</si>
  <si>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</si>
  <si>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</si>
  <si>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</si>
  <si>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</si>
  <si>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</si>
  <si>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</si>
  <si>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</si>
  <si>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</si>
  <si>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</si>
  <si>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</si>
  <si>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</si>
  <si>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</si>
  <si>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</si>
  <si>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</si>
  <si>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</si>
  <si>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</si>
  <si>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</si>
  <si>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</si>
  <si>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</si>
  <si>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</si>
  <si>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</si>
  <si>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</si>
  <si>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</si>
  <si>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</si>
  <si>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</si>
  <si>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</si>
  <si>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</si>
  <si>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</si>
  <si>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</si>
  <si>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</si>
  <si>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</si>
  <si>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</si>
  <si>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</si>
  <si>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</si>
  <si>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</si>
  <si>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</si>
  <si>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</si>
  <si>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</si>
  <si>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</si>
  <si>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</si>
  <si>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</si>
  <si>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</si>
  <si>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</si>
  <si>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</si>
  <si>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</si>
  <si>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</si>
  <si>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</si>
  <si>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</si>
  <si>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</si>
  <si>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</si>
  <si>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</si>
  <si>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</si>
  <si>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</si>
  <si>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</si>
  <si>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</si>
  <si>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</si>
  <si>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</si>
  <si>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</si>
  <si>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</si>
  <si>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</si>
  <si>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</si>
  <si>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</si>
  <si>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</si>
  <si>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</si>
  <si>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</si>
  <si>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</si>
  <si>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</si>
  <si>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</si>
  <si>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</si>
  <si>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</si>
  <si>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</si>
  <si>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</si>
  <si>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</si>
  <si>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</si>
  <si>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</si>
  <si>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</si>
  <si>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</si>
  <si>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</si>
  <si>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</si>
  <si>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</si>
  <si>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</si>
  <si>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</si>
  <si>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</si>
  <si>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</si>
  <si>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</si>
  <si>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</si>
  <si>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</si>
  <si>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</si>
  <si>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</si>
  <si>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</si>
  <si>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</si>
  <si>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</si>
  <si>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</si>
  <si>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</si>
  <si>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</si>
  <si>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</si>
  <si>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</si>
  <si>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</si>
  <si>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</si>
  <si>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</si>
  <si>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</si>
  <si>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</si>
  <si>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</si>
  <si>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</si>
  <si>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</si>
  <si>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</si>
  <si>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</si>
  <si>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</si>
  <si>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</si>
  <si>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</si>
  <si>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</si>
  <si>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</si>
  <si>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</si>
  <si>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</si>
  <si>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</si>
  <si>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</si>
  <si>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</si>
  <si>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</si>
  <si>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</si>
  <si>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</si>
  <si>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</si>
  <si>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</si>
  <si>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</si>
  <si>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</si>
  <si>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</si>
  <si>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</si>
  <si>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</si>
  <si>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</si>
  <si>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</si>
  <si>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</si>
  <si>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</si>
  <si>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</si>
  <si>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</si>
  <si>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</si>
  <si>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</si>
  <si>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</si>
  <si>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</si>
  <si>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</si>
  <si>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</si>
  <si>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</si>
  <si>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</si>
  <si>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</si>
  <si>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</si>
  <si>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</si>
  <si>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</si>
  <si>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</si>
  <si>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</si>
  <si>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</si>
  <si>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</si>
  <si>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</si>
  <si>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</si>
  <si>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</si>
  <si>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</si>
  <si>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</si>
  <si>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</si>
  <si>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</si>
  <si>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</si>
  <si>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</si>
  <si>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</si>
  <si>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</si>
  <si>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</si>
  <si>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</si>
  <si>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</si>
  <si>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</si>
  <si>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</si>
  <si>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</si>
  <si>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</si>
  <si>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</si>
  <si>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</si>
  <si>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</si>
  <si>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</si>
  <si>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</si>
  <si>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</si>
  <si>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</si>
  <si>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</si>
  <si>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</si>
  <si>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</si>
  <si>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</si>
  <si>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</si>
  <si>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</si>
  <si>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</si>
  <si>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</si>
  <si>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</si>
  <si>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</si>
  <si>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</si>
  <si>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</si>
  <si>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</si>
  <si>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</si>
  <si>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</si>
  <si>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</si>
  <si>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</si>
  <si>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</si>
  <si>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</si>
  <si>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</si>
  <si>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</si>
  <si>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</si>
  <si>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</si>
  <si>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</si>
  <si>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</si>
  <si>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</si>
  <si>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</si>
  <si>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</si>
  <si>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</si>
  <si>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</si>
  <si>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</si>
  <si>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</si>
  <si>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</si>
  <si>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</si>
  <si>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</si>
  <si>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</si>
  <si>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</si>
  <si>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</si>
  <si>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</si>
  <si>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</si>
  <si>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</si>
  <si>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</si>
  <si>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</si>
  <si>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</si>
  <si>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</si>
  <si>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</si>
  <si>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</si>
  <si>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</si>
  <si>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</si>
  <si>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</si>
  <si>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</si>
  <si>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</si>
  <si>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</si>
  <si>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</si>
  <si>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</si>
  <si>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</si>
  <si>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</si>
  <si>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</si>
  <si>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</si>
  <si>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</si>
  <si>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</si>
  <si>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</si>
  <si>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</si>
  <si>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</si>
  <si>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</si>
  <si>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</si>
  <si>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</si>
  <si>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</si>
  <si>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</si>
  <si>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</si>
  <si>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</si>
  <si>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</si>
  <si>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</si>
  <si>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</si>
  <si>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</si>
  <si>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</si>
  <si>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</si>
  <si>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</si>
  <si>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</si>
  <si>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</si>
  <si>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</si>
  <si>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</si>
  <si>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</si>
  <si>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</si>
  <si>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</si>
  <si>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</si>
  <si>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</si>
  <si>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</si>
  <si>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</si>
  <si>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</si>
  <si>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</si>
  <si>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</si>
  <si>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</si>
  <si>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</si>
  <si>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</si>
  <si>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</si>
  <si>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</si>
  <si>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</si>
  <si>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</si>
  <si>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</si>
  <si>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</si>
  <si>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</si>
  <si>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</si>
  <si>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</si>
  <si>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</si>
  <si>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</si>
  <si>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</si>
  <si>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</si>
  <si>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</si>
  <si>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</si>
  <si>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</si>
  <si>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</si>
  <si>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</si>
  <si>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</si>
  <si>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</si>
  <si>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</si>
  <si>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</si>
  <si>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</si>
  <si>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</si>
  <si>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</si>
  <si>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</si>
  <si>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</si>
  <si>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</si>
  <si>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</si>
  <si>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</si>
  <si>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</si>
  <si>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</si>
  <si>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</si>
  <si>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</si>
  <si>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</si>
  <si>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</si>
  <si>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</si>
  <si>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</si>
  <si>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</si>
  <si>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</si>
  <si>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</si>
  <si>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</si>
  <si>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</si>
  <si>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</si>
  <si>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</si>
  <si>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</si>
  <si>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</si>
  <si>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</si>
  <si>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</si>
  <si>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</si>
  <si>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</si>
  <si>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</si>
  <si>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</si>
  <si>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</si>
  <si>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</si>
  <si>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</si>
  <si>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</si>
  <si>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</si>
  <si>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</si>
  <si>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</si>
  <si>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</si>
  <si>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</si>
  <si>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</si>
  <si>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</si>
  <si>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</si>
  <si>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</si>
  <si>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</si>
  <si>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</si>
  <si>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</si>
  <si>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</si>
  <si>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</si>
  <si>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</si>
  <si>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</si>
  <si>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</si>
  <si>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</si>
  <si>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</si>
  <si>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</si>
  <si>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</si>
  <si>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</si>
  <si>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</si>
  <si>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</si>
  <si>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</si>
  <si>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</si>
  <si>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</si>
  <si>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</si>
  <si>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</si>
  <si>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</si>
  <si>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</si>
  <si>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</si>
  <si>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</si>
  <si>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</si>
  <si>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</si>
  <si>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</si>
  <si>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</si>
  <si>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</si>
  <si>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</si>
  <si>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</si>
  <si>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</si>
  <si>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</si>
  <si>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</si>
  <si>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</si>
  <si>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</si>
  <si>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</si>
  <si>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</si>
  <si>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</si>
  <si>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</si>
  <si>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</si>
  <si>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</si>
  <si>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</si>
  <si>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</si>
  <si>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</si>
  <si>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</si>
  <si>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</si>
  <si>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</si>
  <si>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</si>
  <si>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</si>
  <si>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</si>
  <si>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</si>
  <si>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</si>
  <si>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</si>
  <si>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</si>
  <si>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</si>
  <si>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</si>
  <si>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</si>
  <si>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</si>
  <si>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</si>
  <si>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</si>
  <si>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</si>
  <si>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</si>
  <si>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</si>
  <si>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</si>
  <si>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</si>
  <si>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</si>
  <si>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</si>
  <si>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</si>
  <si>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</si>
  <si>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</si>
  <si>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</si>
  <si>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</si>
  <si>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</si>
  <si>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</si>
  <si>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</si>
  <si>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</si>
  <si>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</si>
  <si>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</si>
  <si>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</si>
  <si>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</si>
  <si>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</si>
  <si>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</si>
  <si>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</si>
  <si>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</si>
  <si>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</si>
  <si>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</si>
  <si>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</si>
  <si>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</si>
  <si>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</si>
  <si>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</si>
  <si>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</si>
  <si>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</si>
  <si>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</si>
  <si>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</si>
  <si>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</si>
  <si>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</si>
  <si>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</si>
  <si>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</si>
  <si>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</si>
  <si>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</si>
  <si>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</si>
  <si>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</si>
  <si>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</si>
  <si>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</si>
  <si>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</si>
  <si>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</si>
  <si>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</si>
  <si>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</si>
  <si>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</si>
  <si>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</si>
  <si>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</si>
  <si>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</si>
  <si>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</si>
  <si>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</si>
  <si>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</si>
  <si>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</si>
  <si>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</si>
  <si>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</si>
  <si>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</si>
  <si>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</si>
  <si>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</si>
  <si>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</si>
  <si>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</si>
  <si>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</si>
  <si>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</si>
  <si>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</si>
  <si>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</si>
  <si>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</si>
  <si>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</si>
  <si>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</si>
  <si>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</si>
  <si>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</si>
  <si>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</si>
  <si>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</si>
  <si>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</si>
  <si>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</si>
  <si>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</si>
  <si>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</si>
  <si>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</si>
  <si>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</si>
  <si>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</si>
  <si>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</si>
  <si>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</si>
  <si>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</si>
  <si>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</si>
  <si>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</si>
  <si>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</si>
  <si>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</si>
  <si>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</si>
  <si>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</si>
  <si>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</si>
  <si>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</si>
  <si>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</si>
  <si>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</si>
  <si>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</si>
  <si>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</si>
  <si>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</si>
  <si>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</si>
  <si>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</si>
  <si>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</si>
  <si>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</si>
  <si>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</si>
  <si>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</si>
  <si>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</si>
  <si>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</si>
  <si>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</si>
  <si>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</si>
  <si>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</si>
  <si>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</si>
  <si>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</si>
  <si>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</si>
  <si>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</si>
  <si>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</si>
  <si>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</si>
  <si>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</si>
  <si>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</si>
  <si>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</si>
  <si>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</si>
  <si>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</si>
  <si>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</si>
  <si>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</si>
  <si>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</si>
  <si>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</si>
  <si>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</si>
  <si>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</si>
  <si>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</si>
  <si>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</si>
  <si>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</si>
  <si>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</si>
  <si>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</si>
  <si>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</si>
  <si>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</si>
  <si>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</si>
  <si>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</si>
  <si>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</si>
  <si>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</si>
  <si>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</si>
  <si>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</si>
  <si>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</si>
  <si>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</si>
  <si>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</si>
  <si>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</si>
  <si>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</si>
  <si>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</si>
  <si>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</si>
  <si>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</si>
  <si>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</si>
  <si>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</si>
  <si>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</si>
  <si>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</si>
  <si>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</si>
  <si>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</si>
  <si>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</si>
  <si>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</si>
  <si>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</si>
  <si>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</si>
  <si>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</si>
  <si>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</si>
  <si>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</si>
  <si>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</si>
  <si>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</si>
  <si>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</si>
  <si>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</si>
  <si>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</si>
  <si>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</si>
  <si>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</si>
  <si>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</si>
  <si>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</si>
  <si>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</si>
  <si>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</si>
  <si>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</si>
  <si>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</si>
  <si>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</si>
  <si>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</si>
  <si>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</si>
  <si>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</si>
  <si>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</si>
  <si>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</si>
  <si>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</si>
  <si>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</si>
  <si>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</si>
  <si>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</si>
  <si>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</si>
  <si>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</si>
  <si>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</si>
  <si>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</si>
  <si>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</si>
  <si>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</si>
  <si>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</si>
  <si>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</si>
  <si>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</si>
  <si>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</si>
  <si>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</si>
  <si>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</si>
  <si>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</si>
  <si>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</si>
  <si>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</si>
  <si>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</si>
  <si>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</si>
  <si>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</si>
  <si>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</si>
  <si>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</si>
  <si>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</si>
  <si>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</si>
  <si>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</si>
  <si>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</si>
  <si>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</si>
  <si>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</si>
  <si>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</si>
  <si>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</si>
  <si>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</si>
  <si>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</si>
  <si>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</si>
  <si>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</si>
  <si>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</si>
  <si>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</si>
  <si>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</si>
  <si>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</si>
  <si>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</si>
  <si>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</si>
  <si>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</si>
  <si>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</si>
  <si>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</si>
  <si>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</si>
  <si>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</si>
  <si>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</si>
  <si>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</si>
  <si>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</si>
  <si>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</si>
  <si>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</si>
  <si>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</si>
  <si>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</si>
  <si>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</si>
  <si>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</si>
  <si>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</si>
  <si>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</si>
  <si>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</si>
  <si>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</si>
  <si>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</si>
  <si>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</si>
  <si>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</si>
  <si>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</si>
  <si>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</si>
  <si>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</si>
  <si>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</si>
  <si>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</si>
  <si>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</si>
  <si>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</si>
  <si>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</si>
  <si>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</si>
  <si>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</si>
  <si>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</si>
  <si>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</si>
  <si>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</si>
  <si>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</si>
  <si>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</si>
  <si>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</si>
  <si>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</si>
  <si>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</si>
  <si>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</si>
  <si>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</si>
  <si>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</si>
  <si>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</si>
  <si>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</si>
  <si>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</si>
  <si>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</si>
  <si>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</si>
  <si>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</si>
  <si>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</si>
  <si>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</si>
  <si>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</si>
  <si>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</si>
  <si>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</si>
  <si>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</si>
  <si>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</si>
  <si>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</si>
  <si>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</si>
  <si>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</si>
  <si>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</si>
  <si>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</si>
  <si>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</si>
  <si>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</si>
  <si>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</si>
  <si>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</si>
  <si>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</si>
  <si>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</si>
  <si>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</si>
  <si>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</si>
  <si>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</si>
  <si>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</si>
  <si>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</si>
  <si>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</si>
  <si>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</si>
  <si>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</si>
  <si>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</si>
  <si>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</si>
  <si>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</si>
  <si>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</si>
  <si>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</si>
  <si>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</si>
  <si>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</si>
  <si>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</si>
  <si>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</si>
  <si>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</si>
  <si>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</si>
  <si>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</si>
  <si>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</si>
  <si>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</si>
  <si>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</si>
  <si>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</si>
  <si>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</si>
  <si>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</si>
  <si>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</si>
  <si>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</si>
  <si>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</si>
  <si>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</si>
  <si>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</si>
  <si>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</si>
  <si>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</si>
  <si>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</si>
  <si>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</si>
  <si>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</si>
  <si>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</si>
  <si>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</si>
  <si>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</si>
  <si>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</si>
  <si>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</si>
  <si>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</si>
  <si>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</si>
  <si>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</si>
  <si>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</si>
  <si>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</si>
  <si>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</si>
  <si>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</si>
  <si>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</si>
  <si>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</si>
  <si>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</si>
  <si>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</si>
  <si>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</si>
  <si>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</si>
  <si>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</si>
  <si>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</si>
  <si>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</si>
  <si>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</si>
  <si>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</si>
  <si>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</si>
  <si>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</si>
  <si>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</si>
  <si>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</si>
  <si>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</si>
  <si>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</si>
  <si>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</si>
  <si>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</si>
  <si>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</si>
  <si>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</si>
  <si>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</si>
  <si>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</si>
  <si>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</si>
  <si>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</si>
  <si>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</si>
  <si>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</si>
  <si>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</si>
  <si>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</si>
  <si>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</si>
  <si>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</si>
  <si>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</si>
  <si>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</si>
  <si>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</si>
  <si>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</si>
  <si>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</si>
  <si>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</si>
  <si>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</si>
  <si>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</si>
  <si>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</si>
  <si>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</si>
  <si>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</si>
  <si>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</si>
  <si>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</si>
  <si>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</si>
  <si>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</si>
  <si>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</si>
  <si>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</si>
  <si>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</si>
  <si>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</si>
  <si>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</si>
  <si>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</si>
  <si>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</si>
  <si>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</si>
  <si>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</si>
  <si>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</si>
  <si>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</si>
  <si>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</si>
  <si>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</si>
  <si>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</si>
  <si>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</si>
  <si>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</si>
  <si>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</si>
  <si>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</si>
  <si>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</si>
  <si>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</si>
  <si>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</si>
  <si>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</si>
  <si>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</si>
  <si>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</si>
  <si>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</si>
  <si>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</si>
  <si>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</si>
  <si>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</si>
  <si>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</si>
  <si>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</si>
  <si>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</si>
  <si>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</si>
  <si>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</si>
  <si>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</si>
  <si>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</si>
  <si>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</si>
  <si>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</si>
  <si>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</si>
  <si>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</si>
  <si>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</si>
  <si>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</si>
  <si>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</si>
  <si>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</si>
  <si>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</si>
  <si>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</si>
  <si>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</si>
  <si>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</si>
  <si>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</si>
  <si>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</si>
  <si>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</si>
  <si>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</si>
  <si>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</si>
  <si>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</si>
  <si>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</si>
  <si>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</si>
  <si>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</si>
  <si>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</si>
  <si>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</si>
  <si>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</si>
  <si>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</si>
  <si>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</si>
  <si>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</si>
  <si>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</si>
  <si>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</si>
  <si>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</si>
  <si>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</si>
  <si>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</si>
  <si>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</si>
  <si>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</si>
  <si>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</si>
  <si>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</si>
  <si>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</si>
  <si>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</si>
  <si>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</si>
  <si>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</si>
  <si>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</si>
  <si>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</si>
  <si>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</si>
  <si>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</si>
  <si>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</si>
  <si>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</si>
  <si>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</si>
  <si>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</si>
  <si>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</si>
  <si>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</si>
  <si>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</si>
  <si>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</si>
  <si>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</si>
  <si>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</si>
  <si>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</si>
  <si>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</si>
  <si>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</si>
  <si>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</si>
  <si>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</si>
  <si>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</si>
  <si>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</si>
  <si>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</si>
  <si>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</si>
  <si>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</si>
  <si>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</si>
  <si>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</si>
  <si>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</si>
  <si>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</si>
  <si>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</si>
  <si>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</si>
  <si>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</si>
  <si>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</si>
  <si>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</si>
  <si>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</si>
  <si>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</si>
  <si>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</si>
  <si>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</si>
  <si>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</si>
  <si>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</si>
  <si>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</si>
  <si>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</si>
  <si>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</si>
  <si>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</si>
  <si>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</si>
  <si>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</si>
  <si>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</si>
  <si>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</si>
  <si>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</si>
  <si>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</si>
  <si>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</si>
  <si>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</si>
  <si>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</si>
  <si>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</si>
  <si>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</si>
  <si>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</si>
  <si>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</si>
  <si>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</si>
  <si>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</si>
  <si>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</si>
  <si>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</si>
  <si>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</si>
  <si>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</si>
  <si>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</si>
  <si>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</si>
  <si>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</si>
  <si>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</si>
  <si>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</si>
  <si>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</si>
  <si>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</si>
  <si>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</si>
  <si>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</si>
  <si>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</si>
  <si>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</si>
  <si>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</si>
  <si>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</si>
  <si>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</si>
  <si>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</si>
  <si>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</si>
  <si>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</si>
  <si>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</si>
  <si>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</si>
  <si>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</si>
  <si>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</si>
  <si>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</si>
  <si>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</si>
  <si>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</si>
  <si>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</si>
  <si>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</si>
  <si>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</si>
  <si>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</si>
  <si>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</si>
  <si>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</si>
  <si>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</si>
  <si>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</si>
  <si>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</si>
  <si>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</si>
  <si>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</si>
  <si>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</si>
  <si>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</si>
  <si>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</si>
  <si>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</si>
  <si>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</si>
  <si>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</si>
  <si>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</si>
  <si>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</si>
  <si>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</si>
  <si>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</si>
  <si>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</si>
  <si>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</si>
  <si>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</si>
  <si>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</si>
  <si>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</si>
  <si>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</si>
  <si>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</si>
  <si>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</si>
  <si>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</si>
  <si>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</si>
  <si>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</si>
  <si>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</si>
  <si>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</si>
  <si>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</si>
  <si>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</si>
  <si>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</si>
  <si>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</si>
  <si>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</si>
  <si>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</si>
  <si>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</si>
  <si>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</si>
  <si>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</si>
  <si>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</si>
  <si>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</si>
  <si>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</si>
  <si>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</si>
  <si>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</si>
  <si>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</si>
  <si>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</si>
  <si>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</si>
  <si>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</si>
  <si>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</si>
  <si>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</si>
  <si>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</si>
  <si>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</si>
  <si>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</si>
  <si>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</si>
  <si>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</si>
  <si>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</si>
  <si>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</si>
  <si>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</si>
  <si>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</si>
  <si>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</si>
  <si>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</si>
  <si>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</si>
  <si>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</si>
  <si>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</si>
  <si>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</si>
  <si>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</si>
  <si>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</si>
  <si>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</si>
  <si>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</si>
  <si>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</si>
  <si>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</si>
  <si>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</si>
  <si>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</si>
  <si>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</si>
  <si>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</si>
  <si>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</si>
  <si>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</si>
  <si>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</si>
  <si>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</si>
  <si>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</si>
  <si>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</si>
  <si>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</si>
  <si>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</si>
  <si>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</si>
  <si>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</si>
  <si>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</si>
  <si>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</si>
  <si>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</si>
  <si>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</si>
  <si>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</si>
  <si>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</si>
  <si>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</si>
  <si>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</si>
  <si>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</si>
  <si>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</si>
  <si>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</si>
  <si>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</si>
  <si>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</si>
  <si>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</si>
  <si>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</si>
  <si>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</si>
  <si>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</si>
  <si>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</si>
  <si>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</si>
  <si>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</si>
  <si>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</si>
  <si>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</si>
  <si>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</si>
  <si>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</si>
  <si>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</si>
  <si>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</si>
  <si>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</si>
  <si>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</si>
  <si>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</si>
  <si>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</si>
  <si>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</si>
  <si>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</si>
  <si>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</si>
  <si>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</si>
  <si>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</si>
  <si>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</si>
  <si>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</si>
  <si>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</si>
  <si>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</si>
  <si>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</si>
  <si>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</si>
  <si>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</si>
  <si>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</si>
  <si>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</si>
  <si>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</si>
  <si>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</si>
  <si>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</si>
  <si>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</si>
  <si>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</si>
  <si>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</si>
  <si>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</si>
  <si>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</si>
  <si>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</si>
  <si>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</si>
  <si>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</si>
  <si>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</si>
  <si>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</si>
  <si>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</si>
  <si>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</si>
  <si>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</si>
  <si>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</si>
  <si>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</si>
  <si>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</si>
  <si>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</si>
  <si>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</si>
  <si>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</si>
  <si>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</si>
  <si>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</si>
  <si>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</si>
  <si>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</si>
  <si>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</si>
  <si>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</si>
  <si>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</si>
  <si>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</si>
  <si>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</si>
  <si>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</si>
  <si>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</si>
  <si>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</si>
  <si>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</si>
  <si>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</si>
  <si>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</si>
  <si>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</si>
  <si>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</si>
  <si>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</si>
  <si>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</si>
  <si>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</si>
  <si>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</si>
  <si>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</si>
  <si>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</si>
  <si>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</si>
  <si>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</si>
  <si>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</si>
  <si>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</si>
  <si>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</si>
  <si>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</si>
  <si>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</si>
  <si>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</si>
  <si>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</si>
  <si>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</si>
  <si>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</si>
  <si>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</si>
  <si>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</si>
  <si>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</si>
  <si>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</si>
  <si>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</si>
  <si>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</si>
  <si>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</si>
  <si>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</si>
  <si>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</si>
  <si>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</si>
  <si>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</si>
  <si>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</si>
  <si>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</si>
  <si>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</si>
  <si>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</si>
  <si>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</si>
  <si>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</si>
  <si>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</si>
  <si>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</si>
  <si>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</si>
  <si>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</si>
  <si>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</si>
  <si>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</si>
  <si>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</si>
  <si>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</si>
  <si>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</si>
  <si>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</si>
  <si>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</si>
  <si>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</si>
  <si>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</si>
  <si>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</si>
  <si>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</si>
  <si>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</si>
  <si>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</si>
  <si>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</si>
  <si>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</si>
  <si>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</si>
  <si>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</si>
  <si>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</si>
  <si>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</si>
  <si>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</si>
  <si>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</si>
  <si>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</si>
  <si>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</si>
  <si>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</si>
  <si>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</si>
  <si>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</si>
  <si>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</si>
  <si>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</si>
  <si>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</si>
  <si>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</si>
  <si>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</si>
  <si>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</si>
  <si>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</si>
  <si>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</si>
  <si>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</si>
  <si>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</si>
  <si>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</si>
  <si>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</si>
  <si>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</si>
  <si>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</si>
  <si>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</si>
  <si>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</si>
  <si>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</si>
  <si>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</si>
  <si>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</si>
  <si>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</si>
  <si>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</si>
  <si>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</si>
  <si>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</si>
  <si>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</si>
  <si>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</si>
  <si>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</si>
  <si>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</si>
  <si>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</si>
  <si>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</si>
  <si>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</si>
  <si>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</si>
  <si>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</si>
  <si>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</si>
  <si>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</si>
  <si>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</si>
  <si>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</si>
  <si>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</si>
  <si>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</si>
  <si>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</si>
  <si>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</si>
  <si>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</si>
  <si>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</si>
  <si>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</si>
  <si>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</si>
  <si>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</si>
  <si>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</si>
  <si>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</si>
  <si>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</si>
  <si>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</si>
  <si>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</si>
  <si>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</si>
  <si>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</si>
  <si>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</si>
  <si>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</si>
  <si>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</si>
  <si>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</si>
  <si>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</si>
  <si>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</si>
  <si>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</si>
  <si>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</si>
  <si>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</si>
  <si>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</si>
  <si>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</si>
  <si>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</si>
  <si>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</si>
  <si>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Sub-Category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</si>
  <si>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</si>
  <si>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</si>
  <si>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</si>
  <si>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</si>
  <si>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</si>
  <si>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</si>
  <si>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</si>
  <si>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</si>
  <si>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</si>
  <si>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</si>
  <si>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</si>
  <si>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</si>
  <si>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</si>
  <si>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</si>
  <si>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</si>
  <si>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</si>
  <si>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</si>
  <si>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</si>
  <si>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</si>
  <si>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</si>
  <si>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</si>
  <si>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</si>
  <si>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</si>
  <si>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</si>
  <si>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</si>
  <si>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</si>
  <si>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</si>
  <si>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</si>
  <si>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</si>
  <si>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</si>
  <si>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</si>
  <si>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</si>
  <si>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</si>
  <si>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</si>
  <si>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</si>
  <si>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</si>
  <si>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</si>
  <si>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</si>
  <si>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 xml:space="preserve">Date Created Conversion 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</si>
  <si>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</si>
  <si>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</si>
  <si>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</si>
  <si>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</si>
  <si>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</si>
  <si>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</si>
  <si>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</si>
  <si>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</si>
  <si>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</si>
  <si>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</si>
  <si>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</si>
  <si>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</si>
  <si>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</si>
  <si>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</si>
  <si>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</si>
  <si>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</si>
  <si>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</si>
  <si>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</si>
  <si>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</si>
  <si>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</si>
  <si>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</si>
  <si>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</si>
  <si>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</si>
  <si>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&lt;1000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</si>
  <si>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</si>
  <si>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</si>
  <si>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</si>
  <si>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</si>
  <si>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</si>
  <si>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</si>
  <si>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</si>
  <si>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</si>
  <si>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</si>
  <si>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</si>
  <si>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 xml:space="preserve">Outcome </t>
  </si>
  <si>
    <t>Backers Count</t>
  </si>
  <si>
    <t xml:space="preserve">failed </t>
  </si>
  <si>
    <t>Mean</t>
  </si>
  <si>
    <t>Median</t>
  </si>
  <si>
    <t>Min</t>
  </si>
  <si>
    <t>Max</t>
  </si>
  <si>
    <t>Variance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</si>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</sst>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0" xfId="0" applyBorder="1"/>
    <xf numFmtId="9" fontId="0" fillId="0" borderId="10" xfId="42" applyFont="1" applyBorder="1"/>
    <xf numFmtId="164" fontId="0" fillId="0" borderId="10" xfId="43" applyNumberFormat="1" applyFont="1" applyBorder="1" applyAlignment="1">
      <alignment horizontal="left" indent="3"/>
    </xf>
    <xf numFmtId="1" fontId="0" fillId="0" borderId="10" xfId="0" applyNumberFormat="1" applyBorder="1"/>
    <xf numFmtId="164" fontId="0" fillId="0" borderId="10" xfId="43" applyNumberFormat="1" applyFont="1" applyBorder="1"/>
    <xf numFmtId="164" fontId="0" fillId="0" borderId="10" xfId="43" applyNumberFormat="1" applyFont="1" applyBorder="1" applyAlignment="1">
      <alignment horizontal="left" indent="1"/>
    </xf>
    <xf numFmtId="0" fontId="16" fillId="0" borderId="10" xfId="0" applyFont="1" applyBorder="1" applyAlignment="1">
      <alignment horizontal="center"/>
    </xf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43" fontId="16" fillId="0" borderId="0" xfId="43" applyFont="1" applyAlignment="1">
      <alignment horizontal="center"/>
    </xf>
    <xf numFmtId="43" fontId="0" fillId="0" borderId="0" xfId="43" applyFon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Pivot 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'Parent Category Pivot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B-4C8B-9533-9C4D22614C79}"/>
            </c:ext>
          </c:extLst>
        </c:ser>
        <c:ser>
          <c:idx val="1"/>
          <c:order val="1"/>
          <c:tx>
            <c:strRef>
              <c:f>'Parent Category Pivot 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'Parent Category Pivot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AB-4C8B-9533-9C4D22614C79}"/>
            </c:ext>
          </c:extLst>
        </c:ser>
        <c:ser>
          <c:idx val="2"/>
          <c:order val="2"/>
          <c:tx>
            <c:strRef>
              <c:f>'Parent Category Pivot 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'Parent Category Pivot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AB-4C8B-9533-9C4D22614C79}"/>
            </c:ext>
          </c:extLst>
        </c:ser>
        <c:ser>
          <c:idx val="3"/>
          <c:order val="3"/>
          <c:tx>
            <c:strRef>
              <c:f>'Parent Category Pivot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Category Pivot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AB-4C8B-9533-9C4D22614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0012016"/>
        <c:axId val="340010352"/>
      </c:barChart>
      <c:catAx>
        <c:axId val="34001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10352"/>
        <c:crosses val="autoZero"/>
        <c:auto val="1"/>
        <c:lblAlgn val="ctr"/>
        <c:lblOffset val="100"/>
        <c:noMultiLvlLbl val="0"/>
      </c:catAx>
      <c:valAx>
        <c:axId val="3400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1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Pivot'!$A$5:$A$29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5-4488-864B-CC3970647E70}"/>
            </c:ext>
          </c:extLst>
        </c:ser>
        <c:ser>
          <c:idx val="1"/>
          <c:order val="1"/>
          <c:tx>
            <c:strRef>
              <c:f>'SubCategory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Pivot'!$A$5:$A$29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5-4488-864B-CC3970647E70}"/>
            </c:ext>
          </c:extLst>
        </c:ser>
        <c:ser>
          <c:idx val="2"/>
          <c:order val="2"/>
          <c:tx>
            <c:strRef>
              <c:f>'SubCategory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Pivot'!$A$5:$A$29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5-4488-864B-CC3970647E70}"/>
            </c:ext>
          </c:extLst>
        </c:ser>
        <c:ser>
          <c:idx val="3"/>
          <c:order val="3"/>
          <c:tx>
            <c:strRef>
              <c:f>'SubCategory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Pivot'!$A$5:$A$29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05-4488-864B-CC3970647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6739296"/>
        <c:axId val="236739712"/>
      </c:barChart>
      <c:catAx>
        <c:axId val="23673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39712"/>
        <c:crosses val="autoZero"/>
        <c:auto val="1"/>
        <c:lblAlgn val="ctr"/>
        <c:lblOffset val="100"/>
        <c:noMultiLvlLbl val="0"/>
      </c:catAx>
      <c:valAx>
        <c:axId val="2367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3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Pivot!PivotTable3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0-4AF3-A227-7FD655ADAF5F}"/>
            </c:ext>
          </c:extLst>
        </c:ser>
        <c:ser>
          <c:idx val="1"/>
          <c:order val="1"/>
          <c:tx>
            <c:strRef>
              <c:f>'Date Created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0-4AF3-A227-7FD655ADAF5F}"/>
            </c:ext>
          </c:extLst>
        </c:ser>
        <c:ser>
          <c:idx val="2"/>
          <c:order val="2"/>
          <c:tx>
            <c:strRef>
              <c:f>'Date Created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0-4F9A-8371-2B8D4E7AC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88047"/>
        <c:axId val="42085135"/>
      </c:lineChart>
      <c:catAx>
        <c:axId val="4208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5135"/>
        <c:crosses val="autoZero"/>
        <c:auto val="1"/>
        <c:lblAlgn val="ctr"/>
        <c:lblOffset val="100"/>
        <c:noMultiLvlLbl val="0"/>
      </c:catAx>
      <c:valAx>
        <c:axId val="4208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Analysis'!$B$2:$B$13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'Crowfunding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9-4CC6-8D4B-F4E35218EE1B}"/>
            </c:ext>
          </c:extLst>
        </c:ser>
        <c:ser>
          <c:idx val="1"/>
          <c:order val="1"/>
          <c:tx>
            <c:strRef>
              <c:f>'Crowfunding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Analysis'!$B$2:$B$13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'Crowfunding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B9-4CC6-8D4B-F4E35218EE1B}"/>
            </c:ext>
          </c:extLst>
        </c:ser>
        <c:ser>
          <c:idx val="2"/>
          <c:order val="2"/>
          <c:tx>
            <c:strRef>
              <c:f>'Crowfunding Analysis'!$I$1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Analysis'!$B$2:$B$13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'Crowfunding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B9-4CC6-8D4B-F4E35218E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41504"/>
        <c:axId val="91725280"/>
      </c:lineChart>
      <c:catAx>
        <c:axId val="9174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5280"/>
        <c:crosses val="autoZero"/>
        <c:auto val="1"/>
        <c:lblAlgn val="ctr"/>
        <c:lblOffset val="100"/>
        <c:noMultiLvlLbl val="0"/>
      </c:catAx>
      <c:valAx>
        <c:axId val="917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490537</xdr:colOff>
      <xdr:row>1</xdr:row>
      <xdr:rowOff>90487</xdr:rowOff>
    </xdr:from>
    <xdr:to>
      <xdr:col>16</xdr:col>
      <xdr:colOff>200025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DA08CA-3486-40ED-2458-7539B7EDD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280986</xdr:colOff>
      <xdr:row>1</xdr:row>
      <xdr:rowOff>166686</xdr:rowOff>
    </xdr:from>
    <xdr:to>
      <xdr:col>19</xdr:col>
      <xdr:colOff>609600</xdr:colOff>
      <xdr:row>26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CBF9B6-6EC6-BFB2-398B-892EBE219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414336</xdr:colOff>
      <xdr:row>3</xdr:row>
      <xdr:rowOff>166686</xdr:rowOff>
    </xdr:from>
    <xdr:to>
      <xdr:col>15</xdr:col>
      <xdr:colOff>457199</xdr:colOff>
      <xdr:row>19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ED685-8FF5-4B65-BB06-B0A47AC25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14</xdr:row>
      <xdr:rowOff>25400</xdr:rowOff>
    </xdr:from>
    <xdr:to>
      <xdr:col>8</xdr:col>
      <xdr:colOff>1257300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7C9783-D0E6-6DE6-9FDC-715BEC638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un Rabe" refreshedDate="44914.877289004631" createdVersion="8" refreshedVersion="8" minRefreshableVersion="3" recordCount="1000" xr:uid="{5BF2BA36-4842-4915-8AA3-6DA47054B66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-1" maxValue="22.388333333333332"/>
    </cacheField>
    <cacheField name="Average Donation" numFmtId="44">
      <sharedItems containsSemiMixedTypes="0" containsString="0" containsNumber="1" minValue="0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un Rabe" refreshedDate="44915.843455324073" createdVersion="8" refreshedVersion="8" minRefreshableVersion="3" recordCount="1000" xr:uid="{E381B04C-D571-4558-B0F6-4C82294554A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-1" maxValue="22.388333333333332"/>
    </cacheField>
    <cacheField name="Average Donation" numFmtId="44">
      <sharedItems containsSemiMixedTypes="0" containsString="0" containsNumber="1" minValue="0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-1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9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0.31478782287822876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-0.41023809523809524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-0.30723684210526314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0.73618421052631577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-0.79038461538461535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2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-0.80067211625794732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-0.48258064516129034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1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-0.51904761904761909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-0.1065079365079365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1.4511904761904761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-0.332304964539007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-0.5269211822660098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5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0.59391252955082741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-0.33087912087912086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-0.51470400000000005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0.12242792109256449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-0.59007446808510633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0.28071065989847716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2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0.12832251082251081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1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-0.5180093023255814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-0.20050000000000001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5.2255351681957184E-2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2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0.60611111111111116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2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-0.13192079207920793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2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0.50806451612903225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0.50301195219123507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0.57285714285714284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0.39987654320987653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2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-0.49222222222222223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0.69068181818181817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1.1292857142857142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3.4394444444444443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0.85939024390243901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5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-0.52315789473684216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0.14783783783783783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3.7526666666666668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2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0.89624999999999999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-0.98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-8.1321948134092353E-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-0.65847222222222224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0.4040909090909091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-0.10133333333333333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0.7796969696969696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0.4366249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1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1.2711111111111111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1.7507142857142857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0.4437048832271762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-7.2540160642570281E-2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6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-0.88148936170212766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-2.3571428571428573E-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1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-0.54931034482758623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0.62385674931129476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1.5452631578947369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-0.75936708860759494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0.23741406249999999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8.0666666666666664E-2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5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5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0.22461538461538461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0.5057731958762886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-0.21893409275834011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-0.5305263157894737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2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-0.3040138408304498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5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1.2533928571428572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3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-0.6240977443609022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0.3236942675159235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0.31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0.67635135135135138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-0.38015113350125945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1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1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-0.21384615384615385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-0.51595593000648088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1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-0.39451286764705884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2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0.13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1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8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-0.66307770961145196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0.96723684210526317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-0.99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9.2144444444444442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1.8167567567567569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-0.7539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0.43140100671140941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0.4454411764705882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2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0.8648571428571428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4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-0.4078846153846154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-0.85037219101123596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0.19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1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2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6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-0.12788242351529694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-0.12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0.7393877551020408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0.1761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1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0.49496671105193074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1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-0.35632309941520468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-0.8137760270118176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2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0.59905660377358494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-0.61366814650388457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-0.48578488372093021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-0.39665722379603402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-0.9679730639730639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0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8.5974499089253188E-3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0.16181818181818181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2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-0.10263316582914572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-0.28727272727272729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-0.96713768115942034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1.617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-0.04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-0.79103148751357222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1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5909797822706066E-2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1.3004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0.35592592592592592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0.29099999999999998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1.3651199999999999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-0.82750000000000001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0.12493975903614458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0.21021505376344085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1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-0.99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-0.35833090379008747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3.2306746987951809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-7.0158394931362195E-2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-0.41243432574430822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-0.3497777777777778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-0.2606043956043955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-0.47333333333333333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1.2095238095238094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1506276150627615E-4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0.62312500000000004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-0.2181818181818181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0.4973770491803278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1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6943521594684386E-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0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0.37132653061224491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3.155384615384615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-0.6869086651053864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3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-0.97061137692716637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-0.89367346938775505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-0.17125000000000001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0.63014477766287491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7.9466666666666663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-0.73808498896247243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-0.25165217391304345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3.1647680412371133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-3.7916666666666668E-2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2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2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-0.38197674418604649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6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-0.3088235294117647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1.9305555555555556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-0.281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-0.68065315315315311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1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-0.67987804878048785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-0.76474647151071617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-0.3140540540540540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-0.62047619047619051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-0.8000704225352113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-0.54363636363636358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0.2276056338028169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2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-0.3685365853658536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1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-0.90441455696202533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-0.4622222222222222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-0.98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5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-0.21168674698795181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0.3440792216817234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-0.96628000000000003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3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-0.61155555555555552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3.2570000000000001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122397155916709E-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-0.78811311053984578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-0.32574468085106384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-5.0766283524904213E-2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0.51851851851851849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0.95163822525597275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9.2314285714285713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-0.9615816326530611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0.55070665571076416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-0.5524652241112828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1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2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-0.91556962025316457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-1.3744855967078189E-2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0.3797916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-6.1890034364261166E-2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3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1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2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0.68720853858784892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0.19907179115300944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0.93689252336448603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3.2016666666666667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-0.23291666666666666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0.71264705882352941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0.57894736842105265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9.0800000000000006E-2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-0.58267441860465119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-0.89055696202531642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0.59376344086021504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3.2241666666666666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-2.2812499999999999E-2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3.1878911564625851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9163204747774481E-2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0.27726190476190476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3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4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4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2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8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1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1.73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-0.97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-0.45915492957746479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5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-0.10978600823045268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0.84891304347826091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0.20167701863354037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-0.76609756097560977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0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1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4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0.57698412698412693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-0.6879833926453143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2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2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2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0.23081632653061224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-0.23233243967828418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1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0.80533333333333335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1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-0.72823461759631969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-0.9872934287573194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2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0.37230769230769228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-0.67791666666666661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1.415128205128205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-3.2000000000000001E-2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9.664285714285714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2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0.70699999999999996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4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-8.4790273556231005E-2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8.0476190476190479E-2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-0.81271604938271602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-0.16806122448979591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6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-0.8255396966993755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1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-2.2142857142857141E-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5.842499999999999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-0.45597864768683272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3.5661111111111112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-0.90178082191780817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-0.8361538461538461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2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-0.64349922239502333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-0.45049180327868854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-5.7638888888888892E-2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0.43914285714285717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-0.4857894736842105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-0.9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2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-0.68155059132720108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-0.17382352941176471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4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1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-0.92092307692307696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0.32136778115501519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-0.25922165820642978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-0.24707317073170731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-0.79666666666666663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1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2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2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1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-0.66105263157894734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-0.3332291666666666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-0.80772727272727274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-0.84157894736842109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-0.6129761904761904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-0.90412322274881518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-5.8556338028169015E-2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0.66562340966921119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-0.75865168539325845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0.64056338028169013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-9.276923076923077E-2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-0.53805555555555551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-0.61461538461538456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0.33562310030395137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-0.77103411513859277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0.84955489614243318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3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0.99980676328502416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0.23958333333333334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0.86613293051359519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0.14285385500575373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-2.9674681753889674E-2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0.22819047619047619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0.79143266475644702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-0.2004842259721203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-5.757412398921833E-2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-0.15330708661417322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-0.3347807933194154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-0.46077777777777779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-0.58016700404858301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-0.85305203045685274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-0.6552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3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-0.28229648241206029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-0.46925884955752212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-0.9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0.27707152496626181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-0.6510714285714285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3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0.23737704918032787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-0.41026315789473683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-0.63107526881720433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0.84913043478260875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-0.88185567010309274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1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1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0.73563636363636364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2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0.60192307692307689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5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6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4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-0.81111111111111112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1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1.7301851851851853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0.59363312555654502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-0.32130021141649051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4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6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-0.868142174432496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-0.45222222222222225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2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-0.89742454728370225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-0.8603703703703703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-0.5955555555555555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0.60319999999999996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0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-0.36230769230769233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1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0.7200961538461538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0.4616709511568123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-0.23576383763837638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-0.60738532110091747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-0.88729965156794421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0.22110843373493977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0.86541666666666661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-0.92726821192052977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-0.34357628765792031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1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3.6937500000000001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0.30112676056338028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0.67054229934924081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0.73864197530864195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6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-0.36149023638232269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-0.98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4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-0.59643835616438357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-0.13779366700715015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2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-0.10381756756756756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0.82145038167938933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2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0.31836956521739129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-0.53684365781710919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-0.63867273910214706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4.6282051282051283E-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5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-0.37927176781002636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-0.15300212539851221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-0.88940969162995598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-0.5616121842496285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-0.44529411764705884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-0.42600488698839339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0.234349736379613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0.28460000000000002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-0.36010638297872338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0.27298850574712646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-0.8936197564276048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-0.5952941176470588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1.8766666666666667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4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0.1290429799426934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-0.53612426035502958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-9.324083769633508E-2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-0.322592592592592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0.9249019607843137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-0.17285714285714285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-0.4583607907742998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-0.83277777777777773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0.16876640419947506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9.521538461538462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0.23074074074074075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0.78638554216867473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2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0.61906341463414638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-0.75085714285714289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0.9872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-0.65247311827956989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0.76419354838709674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4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-0.17955882352941177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-0.75673969072164948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-0.49517241379310345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8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-0.96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0.22845013477088949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-0.36562499999999998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-0.43668311403508769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-0.55925000000000002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0.1837253218884120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4.1243169398907105E-2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-0.7336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2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-9.9365079365079365E-2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0.7162500000000000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0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-0.69420550847457629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8.1645569620253169E-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0.33455056179775283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0.87851063829787235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2.3199999999999998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4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-0.59499999999999997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0.84428571428571431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1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2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-0.60765929778933681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0.78139999999999998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2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0.13945945945945945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-0.7017127937336814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-0.4572941176470588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1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4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6.5116279069767444E-3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-0.18651576805696846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-0.835952380952381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-0.47225382932166304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1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-0.69267108167770419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-0.86499999999999999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0.78625566636446054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1.2005660377358491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5108695652173912E-2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0.91500000000000004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2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-0.76004712041884814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6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4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3.145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-0.99093035908596305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-0.65826530612244893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-0.76051189245087902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-0.51927350427350427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-1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-0.29854817708333331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4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0.80325490196078431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-7.6799999999999993E-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-0.86098998887652944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8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-0.60142857142857142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0.12229299363057325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-0.2907418397626112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0.19089743589743591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-0.759824086603518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0.3931868131868132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-0.60722891566265058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-0.77560922855082914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-0.44220930232558142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-0.57476874003189793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0.12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-0.9293181818181818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7456387169386606E-2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3.2574999999999998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0.45539473684210524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-0.67546534653465351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6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-0.16095139607032058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-0.1580952380952380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0.55951807228915662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-3.8054968287526427E-3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-0.1970000000000000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-0.88745098039215686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-8.2590476190476186E-2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-4.4788430637386183E-2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4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0.59243944636678203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-0.84977553310886644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3.820384615384615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0.4996938775510204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0.17221563981042654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-0.62304031725049569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-0.273469387755102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1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-0.75794382022471907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-0.97493506493506499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-0.83670200235571257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1.7649999999999999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-0.1119642857142857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0.63571428571428568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8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1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1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-0.96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-0.41367018323153804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-1.4888888888888889E-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-0.56024618991793673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0.51663157894736844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1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1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0.99333333333333329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0.37344827586206897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9.6961063627730298E-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6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2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-0.87181818181818183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0.38027027027027027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-0.16186721991701244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1.0460063224446785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-0.5565591397849462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1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0.86033149171270717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1.3733830845771144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2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-5.8571428571428573E-2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-0.45600000000000002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0.11880597014925373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2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-0.3706962785114045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-0.3507216494845361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-0.8114634146341464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-0.83245595854922283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1129032258064516E-2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2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-0.35983333333333334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-0.47919540229885055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2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0.19508101851851853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0.46797752808988763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8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-0.27106382978723403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-0.20991751269035533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-0.3527848101265823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-0.17971830985915493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9.3766666666666669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-0.87089923469387753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0.54842105263157892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-0.92900826446280993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1.0852773826458038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-3.1645569620253164E-3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1.0159756097560975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0.62090322580645163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-0.96356379187455454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-0.9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1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0.282362869198312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0.1966037735849056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0.70730552423900794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0.87212121212121207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0.8838235294117646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0.31298691860465117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1.8397435897435896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0.20419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3.1905607476635516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-0.86146341463414633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0.39435483870967741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0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0.5549056603773584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0.70447058823529407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0.89515624999999999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1.4971428571428571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-0.51139476334340384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-0.71538029606942322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1.680232558139535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5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-0.96869841269841273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0.5992152704135737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1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-0.22626666666666667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1.06328125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5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0.5178947368421053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-0.3541792782305006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-0.3712631578947368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2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-0.5714008321775312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-0.16880597014925372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-0.21468697123519459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0.14093525179856115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-0.35462316641375824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-0.20588235294117646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-0.88580882352941182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-0.43813953488372093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-0.83498330550918198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0.1996808510638298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0.4545652173913043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1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-0.5160330578512396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-7.0884955752212389E-2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-0.1140020263424518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-0.58599999999999997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-0.3694320486815415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-0.51517666392769101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-0.98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-0.11520589730554143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0.26840000000000003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2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4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0.91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-0.5787246621621621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-0.91759999999999997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-0.39935361216730036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-0.52767191383595691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-0.18263736263736263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-0.45812734082397005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-2.131868131868132E-2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-0.2276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-0.66535264483627199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1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-0.35967741935483871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0.76159420289855073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-0.79661818181818178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2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3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0.22056352459016393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-0.44068216270843863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-0.56339285714285714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-0.66461628588166377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0.22979381443298968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0.8974959871589085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-0.16377358490566038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-0.82031155778894471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9.3650000000000002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-2.5947802197802197E-2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-0.1361379684953829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0.50166666666666671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2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4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-0.32499285714285714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0.91746666666666665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8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3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6.5753424657534251E-3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1.2661111111111112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0.42380000000000001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-9.3666666666666662E-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-0.36033259423503328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-0.15868131868131868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0.33934782608695652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-0.4095795246800731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0.52800620636152051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3.4669121140142516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-0.15608108108108107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-0.97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0.75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-0.45862068965517239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2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0.227816091954023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-9.7348261638185024E-3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0.27846863468634686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0.5861643835616438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6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0.42387755102040814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0.47860465116279072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-0.7967741935483870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7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0.61942028985507247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3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-0.75533898305084746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4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1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2.0481927710843373E-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0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-0.6290804597701149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-0.95607605177993527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0.56507216494845358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1.7040816326530612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0.3405952380952381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-0.4960196687370600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-0.111841620626151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0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-0.82499999999999996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0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3.1266319444444446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-9.7500000000000003E-2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-8.0153846153846159E-2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4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2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2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-0.67103896103896099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0.35891891891891892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-0.97915662650602409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-0.39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-0.69962264150943398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0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0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-0.87076923076923074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6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-0.6969565217391304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1.125089605734767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1.2885714285714285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-0.6504002052334531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0.572906976744186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-0.99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1.3230555555555557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-7.5517241379310346E-2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1.5670212765957447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0.68470170454545454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0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6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3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4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-0.3157313432835821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-0.6564803312629399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5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0.77257142857142858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0.13178571428571428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6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1.0833333333333333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-0.6882876712328767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-0.43032921810699587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1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-0.13132165605095542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1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-0.50553571428571431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0.1335962566844919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0.90555555555555556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0.35499999999999998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-0.8970212765957447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-0.34455776173285196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-0.50973347547974412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6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-0.1969365225390984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6.2941176470588237E-2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-0.49264367816091953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1.1531372549019607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0.4122972972972973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0.153374578177727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0.93119402985074629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6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-3.3660130718954247E-3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-0.11833333333333333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-0.62766666666666671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-0.6945992469069391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-0.74285714285714288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-0.66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0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0.25393939393939396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-0.85605633802816905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-0.4519230769230769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9.6315789473684216E-2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0.88470588235294123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-0.12991715976331361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-0.99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1.0291304347826087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0.97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7.0000000000000007E-2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1.6873076923076924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-0.49154639175257731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0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1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-0.6955769230769230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-0.37119318181818184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0.93125000000000002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-0.2289729729729729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1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1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-7.8125E-2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0.30233333333333334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5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2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9.9485714285714284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-0.4933707865168539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7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1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2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2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0.26489411764705884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2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3.570357142857143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1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-0.31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-0.48656250000000001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-0.9882894736842105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8.9773429454170953E-2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2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0.57691176470588235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0.53808219178082195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-0.10261020881670534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-0.24864197530864199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7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0.38906249999999998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0.90181818181818185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2.4333619948409286E-3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0.42758241758241761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4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-0.69284090909090912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-6.0227272727272725E-3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0.97549356223175965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4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1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2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0.33089552238805969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-0.99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1.0780000000000001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-0.48877551020408161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5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0.13630994152046783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2.376068376068376E-2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2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0.39867924528301885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-0.30549999999999999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-0.6446575342465753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1.51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5.8749999999999997E-2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0.8742857142857143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2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2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0.85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-0.56758752735229756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0.62437500000000001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0.84842857142857142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-0.76296479308214948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-0.101298701298701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1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0.7004255319148936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0.8828503562945367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2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-0.3082278481012658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-0.74566265060240966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-0.2259902200488997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-0.62518518518518518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4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1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-0.61051660516605166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2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1.3791176470588236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-0.35963700234192036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0.18277777777777779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-0.1517596281540504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-0.70653846153846156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1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0.69785714285714284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0.1595907738095238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1.5860000000000001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1.3058333333333334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0.28214285714285714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0.88705882352941179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-0.93048811013767208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6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-0.72306818181818178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-0.4752037967615857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3.0709677419354837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-0.98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0.5617857142857143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1.5242857142857142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-0.9827073170731707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-0.87769230769230766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0.63987341772151896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0.62981818181818183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-0.7974725274725275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2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3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-0.80443365695792879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0.98948275862068968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6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-0.4937891737891738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-0.42562499999999998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0.55628276409849087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-0.63702702702702707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-0.41749999999999998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1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-0.41249999999999998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0.82566037735849052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-0.99245635910224439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0.75953307392996106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1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3.8805076142131978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1.2406666666666666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-0.81873563218390799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-0.5415277777777778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0.17315412186379928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1.1730909090909092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0.12285714285714286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-0.27481012658227849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1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1.3974657534246575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0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0.6413114754098360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-0.98362403100775198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-0.50356140350877188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9.7065217391304345E-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-0.5078205128205127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-0.37767676767676767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-0.86941860465116283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-0.35364583333333333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0.59586666666666666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-0.18579999999999999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-0.6755523255813953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-0.9008588158750813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-0.73305555555555557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-0.37042553191489364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0.61355932203389829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-0.9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9.9693793103448272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-0.29905841924398624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-0.4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2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0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-0.80971215351812365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0.26877551020408164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6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-0.95426896551724139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-0.14945454545454545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0.19298245614035087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1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-0.15305084745762712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2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2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6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0.3703393665158371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2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8.2278481012658222E-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-0.3924236037934668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-0.7227450980392157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1.2839344262295083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-0.78384805945499592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2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0.5492592592592592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2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-0.2604285714285714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7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0.43262458471760795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-0.59718237704918031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0.78223880597014928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-0.1506944444444444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0.459364833462432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0.52461538461538459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-0.3287045720984759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-0.59692307692307689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1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-0.47882978723404257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3.9958333333333331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-0.12320512820512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0.13173469387755102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3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-0.22367346938775509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-0.4750318922749822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0.57467625899280572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-0.27060606060606063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-0.39434210526315788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-0.4320870870870871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-0.43457245724572457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x v="0"/>
    <s v="CAD"/>
    <n v="1448690400"/>
    <n v="1450159200"/>
    <b v="0"/>
    <b v="0"/>
    <s v="food/food trucks"/>
    <n v="-1"/>
    <n v="0"/>
    <x v="0"/>
    <s v="food trucks"/>
    <x v="0"/>
    <d v="2015-12-15T06:00:00"/>
  </r>
  <r>
    <n v="1"/>
    <s v="Odom Inc"/>
    <s v="Managed bottom-line architecture"/>
    <n v="1400"/>
    <n v="14560"/>
    <x v="1"/>
    <x v="1"/>
    <x v="1"/>
    <s v="USD"/>
    <n v="1408424400"/>
    <n v="1408597200"/>
    <b v="0"/>
    <b v="1"/>
    <s v="music/rock"/>
    <n v="9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x v="2"/>
    <x v="2"/>
    <s v="AUD"/>
    <n v="1384668000"/>
    <n v="1384840800"/>
    <b v="0"/>
    <b v="0"/>
    <s v="technology/web"/>
    <n v="0.31478782287822876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x v="3"/>
    <x v="1"/>
    <s v="USD"/>
    <n v="1565499600"/>
    <n v="1568955600"/>
    <b v="0"/>
    <b v="0"/>
    <s v="music/rock"/>
    <n v="-0.41023809523809524"/>
    <n v="103.20833333333333"/>
    <x v="1"/>
    <s v="rock"/>
    <x v="3"/>
    <d v="2019-09-20T05:00:00"/>
  </r>
  <r>
    <n v="4"/>
    <s v="Larson-Little"/>
    <s v="Proactive foreground core"/>
    <n v="7600"/>
    <n v="5265"/>
    <x v="0"/>
    <x v="4"/>
    <x v="1"/>
    <s v="USD"/>
    <n v="1547964000"/>
    <n v="1548309600"/>
    <b v="0"/>
    <b v="0"/>
    <s v="theater/plays"/>
    <n v="-0.30723684210526314"/>
    <n v="99.339622641509436"/>
    <x v="3"/>
    <s v="plays"/>
    <x v="4"/>
    <d v="2019-01-24T06:00:00"/>
  </r>
  <r>
    <n v="5"/>
    <s v="Harris Group"/>
    <s v="Open-source optimizing database"/>
    <n v="7600"/>
    <n v="13195"/>
    <x v="1"/>
    <x v="5"/>
    <x v="3"/>
    <s v="DKK"/>
    <n v="1346130000"/>
    <n v="1347080400"/>
    <b v="0"/>
    <b v="0"/>
    <s v="theater/plays"/>
    <n v="0.73618421052631577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x v="6"/>
    <x v="4"/>
    <s v="GBP"/>
    <n v="1505278800"/>
    <n v="1505365200"/>
    <b v="0"/>
    <b v="0"/>
    <s v="film &amp; video/documentary"/>
    <n v="-0.79038461538461535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x v="7"/>
    <x v="3"/>
    <s v="DKK"/>
    <n v="1439442000"/>
    <n v="1439614800"/>
    <b v="0"/>
    <b v="0"/>
    <s v="theater/plays"/>
    <n v="2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x v="8"/>
    <x v="3"/>
    <s v="DKK"/>
    <n v="1281330000"/>
    <n v="1281502800"/>
    <b v="0"/>
    <b v="0"/>
    <s v="theater/plays"/>
    <n v="-0.80067211625794732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x v="9"/>
    <x v="1"/>
    <s v="USD"/>
    <n v="1379566800"/>
    <n v="1383804000"/>
    <b v="0"/>
    <b v="0"/>
    <s v="music/electric music"/>
    <n v="-0.48258064516129034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x v="10"/>
    <x v="1"/>
    <s v="USD"/>
    <n v="1281762000"/>
    <n v="1285909200"/>
    <b v="0"/>
    <b v="0"/>
    <s v="film &amp; video/drama"/>
    <n v="1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x v="11"/>
    <x v="1"/>
    <s v="USD"/>
    <n v="1285045200"/>
    <n v="1285563600"/>
    <b v="0"/>
    <b v="1"/>
    <s v="theater/plays"/>
    <n v="-0.51904761904761909"/>
    <n v="112.22222222222223"/>
    <x v="3"/>
    <s v="plays"/>
    <x v="11"/>
    <d v="2010-09-27T05:00:00"/>
  </r>
  <r>
    <n v="12"/>
    <s v="Kim Ltd"/>
    <s v="Assimilated hybrid intranet"/>
    <n v="6300"/>
    <n v="5629"/>
    <x v="0"/>
    <x v="12"/>
    <x v="1"/>
    <s v="USD"/>
    <n v="1571720400"/>
    <n v="1572411600"/>
    <b v="0"/>
    <b v="0"/>
    <s v="film &amp; video/drama"/>
    <n v="-0.1065079365079365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x v="13"/>
    <x v="1"/>
    <s v="USD"/>
    <n v="1465621200"/>
    <n v="1466658000"/>
    <b v="0"/>
    <b v="0"/>
    <s v="music/indie rock"/>
    <n v="1.4511904761904761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x v="14"/>
    <x v="1"/>
    <s v="USD"/>
    <n v="1331013600"/>
    <n v="1333342800"/>
    <b v="0"/>
    <b v="0"/>
    <s v="music/indie rock"/>
    <n v="-0.332304964539007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x v="15"/>
    <x v="1"/>
    <s v="USD"/>
    <n v="1575957600"/>
    <n v="1576303200"/>
    <b v="0"/>
    <b v="0"/>
    <s v="technology/wearables"/>
    <n v="-0.52692118226600981"/>
    <n v="84.986725663716811"/>
    <x v="2"/>
    <s v="wearables"/>
    <x v="15"/>
    <d v="2019-12-14T06:00:00"/>
  </r>
  <r>
    <n v="16"/>
    <s v="Hines Inc"/>
    <s v="Cross-platform systemic adapter"/>
    <n v="1700"/>
    <n v="11041"/>
    <x v="1"/>
    <x v="16"/>
    <x v="1"/>
    <s v="USD"/>
    <n v="1390370400"/>
    <n v="1392271200"/>
    <b v="0"/>
    <b v="0"/>
    <s v="publishing/nonfiction"/>
    <n v="5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x v="17"/>
    <x v="1"/>
    <s v="USD"/>
    <n v="1294812000"/>
    <n v="1294898400"/>
    <b v="0"/>
    <b v="0"/>
    <s v="film &amp; video/animation"/>
    <n v="0.59391252955082741"/>
    <n v="107.96236989591674"/>
    <x v="4"/>
    <s v="animation"/>
    <x v="17"/>
    <d v="2011-01-13T06:00:00"/>
  </r>
  <r>
    <n v="18"/>
    <s v="Johnson-Gould"/>
    <s v="Exclusive needs-based adapter"/>
    <n v="9100"/>
    <n v="6089"/>
    <x v="3"/>
    <x v="18"/>
    <x v="1"/>
    <s v="USD"/>
    <n v="1536382800"/>
    <n v="1537074000"/>
    <b v="0"/>
    <b v="0"/>
    <s v="theater/plays"/>
    <n v="-0.33087912087912086"/>
    <n v="45.103703703703701"/>
    <x v="3"/>
    <s v="plays"/>
    <x v="18"/>
    <d v="2018-09-16T05:00:00"/>
  </r>
  <r>
    <n v="19"/>
    <s v="Perez-Hess"/>
    <s v="Down-sized cohesive archive"/>
    <n v="62500"/>
    <n v="30331"/>
    <x v="0"/>
    <x v="19"/>
    <x v="1"/>
    <s v="USD"/>
    <n v="1551679200"/>
    <n v="1553490000"/>
    <b v="0"/>
    <b v="1"/>
    <s v="theater/plays"/>
    <n v="-0.51470400000000005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x v="20"/>
    <x v="1"/>
    <s v="USD"/>
    <n v="1406523600"/>
    <n v="1406523600"/>
    <b v="0"/>
    <b v="0"/>
    <s v="film &amp; video/drama"/>
    <n v="0.12242792109256449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x v="21"/>
    <x v="1"/>
    <s v="USD"/>
    <n v="1313384400"/>
    <n v="1316322000"/>
    <b v="0"/>
    <b v="0"/>
    <s v="theater/plays"/>
    <n v="-0.59007446808510633"/>
    <n v="69.055555555555557"/>
    <x v="3"/>
    <s v="plays"/>
    <x v="21"/>
    <d v="2011-09-18T05:00:00"/>
  </r>
  <r>
    <n v="22"/>
    <s v="Collier Inc"/>
    <s v="Enhanced dynamic definition"/>
    <n v="59100"/>
    <n v="75690"/>
    <x v="1"/>
    <x v="22"/>
    <x v="1"/>
    <s v="USD"/>
    <n v="1522731600"/>
    <n v="1524027600"/>
    <b v="0"/>
    <b v="0"/>
    <s v="theater/plays"/>
    <n v="0.28071065989847716"/>
    <n v="85.044943820224717"/>
    <x v="3"/>
    <s v="plays"/>
    <x v="22"/>
    <d v="2018-04-18T05:00:00"/>
  </r>
  <r>
    <n v="23"/>
    <s v="Gray-Jenkins"/>
    <s v="Devolved next generation adapter"/>
    <n v="4500"/>
    <n v="14942"/>
    <x v="1"/>
    <x v="23"/>
    <x v="4"/>
    <s v="GBP"/>
    <n v="1550124000"/>
    <n v="1554699600"/>
    <b v="0"/>
    <b v="0"/>
    <s v="film &amp; video/documentary"/>
    <n v="2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x v="24"/>
    <x v="1"/>
    <s v="USD"/>
    <n v="1403326800"/>
    <n v="1403499600"/>
    <b v="0"/>
    <b v="0"/>
    <s v="technology/wearables"/>
    <n v="0.12832251082251081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x v="25"/>
    <x v="1"/>
    <s v="USD"/>
    <n v="1305694800"/>
    <n v="1307422800"/>
    <b v="0"/>
    <b v="1"/>
    <s v="games/video games"/>
    <n v="1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x v="26"/>
    <x v="1"/>
    <s v="USD"/>
    <n v="1533013200"/>
    <n v="1535346000"/>
    <b v="0"/>
    <b v="0"/>
    <s v="theater/plays"/>
    <n v="-0.5180093023255814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x v="27"/>
    <x v="1"/>
    <s v="USD"/>
    <n v="1443848400"/>
    <n v="1444539600"/>
    <b v="0"/>
    <b v="0"/>
    <s v="music/rock"/>
    <n v="-0.20050000000000001"/>
    <n v="106.6"/>
    <x v="1"/>
    <s v="rock"/>
    <x v="27"/>
    <d v="2015-10-11T05:00:00"/>
  </r>
  <r>
    <n v="28"/>
    <s v="Campbell, Brown and Powell"/>
    <s v="Synchronized global task-force"/>
    <n v="130800"/>
    <n v="137635"/>
    <x v="1"/>
    <x v="28"/>
    <x v="1"/>
    <s v="USD"/>
    <n v="1265695200"/>
    <n v="1267682400"/>
    <b v="0"/>
    <b v="1"/>
    <s v="theater/plays"/>
    <n v="5.2255351681957184E-2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x v="29"/>
    <x v="5"/>
    <s v="CHF"/>
    <n v="1532062800"/>
    <n v="1535518800"/>
    <b v="0"/>
    <b v="0"/>
    <s v="film &amp; video/shorts"/>
    <n v="2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x v="30"/>
    <x v="1"/>
    <s v="USD"/>
    <n v="1558674000"/>
    <n v="1559106000"/>
    <b v="0"/>
    <b v="0"/>
    <s v="film &amp; video/animation"/>
    <n v="0.60611111111111116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x v="31"/>
    <x v="4"/>
    <s v="GBP"/>
    <n v="1451973600"/>
    <n v="1454392800"/>
    <b v="0"/>
    <b v="0"/>
    <s v="games/video games"/>
    <n v="2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x v="32"/>
    <x v="6"/>
    <s v="EUR"/>
    <n v="1515564000"/>
    <n v="1517896800"/>
    <b v="0"/>
    <b v="0"/>
    <s v="film &amp; video/documentary"/>
    <n v="-0.13192079207920793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x v="33"/>
    <x v="1"/>
    <s v="USD"/>
    <n v="1412485200"/>
    <n v="1415685600"/>
    <b v="0"/>
    <b v="0"/>
    <s v="theater/plays"/>
    <n v="2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x v="34"/>
    <x v="1"/>
    <s v="USD"/>
    <n v="1490245200"/>
    <n v="1490677200"/>
    <b v="0"/>
    <b v="0"/>
    <s v="film &amp; video/documentary"/>
    <n v="0.50806451612903225"/>
    <n v="85"/>
    <x v="4"/>
    <s v="documentary"/>
    <x v="34"/>
    <d v="2017-03-28T05:00:00"/>
  </r>
  <r>
    <n v="35"/>
    <s v="Mitchell and Sons"/>
    <s v="Synergized intangible challenge"/>
    <n v="125500"/>
    <n v="188628"/>
    <x v="1"/>
    <x v="35"/>
    <x v="3"/>
    <s v="DKK"/>
    <n v="1547877600"/>
    <n v="1551506400"/>
    <b v="0"/>
    <b v="1"/>
    <s v="film &amp; video/drama"/>
    <n v="0.50301195219123507"/>
    <n v="95.993893129770996"/>
    <x v="4"/>
    <s v="drama"/>
    <x v="35"/>
    <d v="2019-03-02T06:00:00"/>
  </r>
  <r>
    <n v="36"/>
    <s v="Jackson-Lewis"/>
    <s v="Monitored multi-state encryption"/>
    <n v="700"/>
    <n v="1101"/>
    <x v="1"/>
    <x v="36"/>
    <x v="1"/>
    <s v="USD"/>
    <n v="1298700000"/>
    <n v="1300856400"/>
    <b v="0"/>
    <b v="0"/>
    <s v="theater/plays"/>
    <n v="0.57285714285714284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x v="37"/>
    <x v="1"/>
    <s v="USD"/>
    <n v="1570338000"/>
    <n v="1573192800"/>
    <b v="0"/>
    <b v="1"/>
    <s v="publishing/fiction"/>
    <n v="0.39987654320987653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x v="38"/>
    <x v="1"/>
    <s v="USD"/>
    <n v="1287378000"/>
    <n v="1287810000"/>
    <b v="0"/>
    <b v="0"/>
    <s v="photography/photography books"/>
    <n v="2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x v="39"/>
    <x v="3"/>
    <s v="DKK"/>
    <n v="1361772000"/>
    <n v="1362978000"/>
    <b v="0"/>
    <b v="0"/>
    <s v="theater/plays"/>
    <n v="-0.49222222222222223"/>
    <n v="57.125"/>
    <x v="3"/>
    <s v="plays"/>
    <x v="39"/>
    <d v="2013-03-11T05:00:00"/>
  </r>
  <r>
    <n v="40"/>
    <s v="Garcia, Garcia and Lopez"/>
    <s v="Reduced stable middleware"/>
    <n v="8800"/>
    <n v="14878"/>
    <x v="1"/>
    <x v="40"/>
    <x v="1"/>
    <s v="USD"/>
    <n v="1275714000"/>
    <n v="1277355600"/>
    <b v="0"/>
    <b v="1"/>
    <s v="technology/wearables"/>
    <n v="0.69068181818181817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x v="41"/>
    <x v="6"/>
    <s v="EUR"/>
    <n v="1346734800"/>
    <n v="1348981200"/>
    <b v="0"/>
    <b v="1"/>
    <s v="music/rock"/>
    <n v="1.1292857142857142"/>
    <n v="107.42342342342343"/>
    <x v="1"/>
    <s v="rock"/>
    <x v="41"/>
    <d v="2012-09-30T05:00:00"/>
  </r>
  <r>
    <n v="42"/>
    <s v="Werner-Bryant"/>
    <s v="Virtual uniform frame"/>
    <n v="1800"/>
    <n v="7991"/>
    <x v="1"/>
    <x v="42"/>
    <x v="1"/>
    <s v="USD"/>
    <n v="1309755600"/>
    <n v="1310533200"/>
    <b v="0"/>
    <b v="0"/>
    <s v="food/food trucks"/>
    <n v="3.4394444444444443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x v="43"/>
    <x v="1"/>
    <s v="USD"/>
    <n v="1406178000"/>
    <n v="1407560400"/>
    <b v="0"/>
    <b v="0"/>
    <s v="publishing/radio &amp; podcasts"/>
    <n v="0.85939024390243901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x v="13"/>
    <x v="3"/>
    <s v="DKK"/>
    <n v="1552798800"/>
    <n v="1552885200"/>
    <b v="0"/>
    <b v="0"/>
    <s v="publishing/fiction"/>
    <n v="5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x v="44"/>
    <x v="1"/>
    <s v="USD"/>
    <n v="1478062800"/>
    <n v="1479362400"/>
    <b v="0"/>
    <b v="1"/>
    <s v="theater/plays"/>
    <n v="-0.52315789473684216"/>
    <n v="94.375"/>
    <x v="3"/>
    <s v="plays"/>
    <x v="45"/>
    <d v="2016-11-17T06:00:00"/>
  </r>
  <r>
    <n v="46"/>
    <s v="Vaughn, Hunt and Caldwell"/>
    <s v="Virtual grid-enabled task-force"/>
    <n v="3700"/>
    <n v="4247"/>
    <x v="1"/>
    <x v="45"/>
    <x v="1"/>
    <s v="USD"/>
    <n v="1278565200"/>
    <n v="1280552400"/>
    <b v="0"/>
    <b v="0"/>
    <s v="music/rock"/>
    <n v="0.14783783783783783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x v="46"/>
    <x v="1"/>
    <s v="USD"/>
    <n v="1396069200"/>
    <n v="1398661200"/>
    <b v="0"/>
    <b v="0"/>
    <s v="theater/plays"/>
    <n v="3.7526666666666668"/>
    <n v="47.845637583892618"/>
    <x v="3"/>
    <s v="plays"/>
    <x v="47"/>
    <d v="2014-04-28T05:00:00"/>
  </r>
  <r>
    <n v="48"/>
    <s v="Lamb Inc"/>
    <s v="Optimized leadingedge concept"/>
    <n v="33300"/>
    <n v="128862"/>
    <x v="1"/>
    <x v="47"/>
    <x v="1"/>
    <s v="USD"/>
    <n v="1435208400"/>
    <n v="1436245200"/>
    <b v="0"/>
    <b v="0"/>
    <s v="theater/plays"/>
    <n v="2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x v="48"/>
    <x v="1"/>
    <s v="USD"/>
    <n v="1571547600"/>
    <n v="1575439200"/>
    <b v="0"/>
    <b v="0"/>
    <s v="music/rock"/>
    <n v="0.89624999999999999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x v="49"/>
    <x v="6"/>
    <s v="EUR"/>
    <n v="1375333200"/>
    <n v="1377752400"/>
    <b v="0"/>
    <b v="0"/>
    <s v="music/metal"/>
    <n v="-0.98"/>
    <n v="2"/>
    <x v="1"/>
    <s v="metal"/>
    <x v="50"/>
    <d v="2013-08-29T05:00:00"/>
  </r>
  <r>
    <n v="51"/>
    <s v="Bradshaw, Gill and Donovan"/>
    <s v="Inverse secondary infrastructure"/>
    <n v="158100"/>
    <n v="145243"/>
    <x v="0"/>
    <x v="50"/>
    <x v="4"/>
    <s v="GBP"/>
    <n v="1332824400"/>
    <n v="1334206800"/>
    <b v="0"/>
    <b v="1"/>
    <s v="technology/wearables"/>
    <n v="-8.1321948134092353E-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x v="51"/>
    <x v="1"/>
    <s v="USD"/>
    <n v="1284526800"/>
    <n v="1284872400"/>
    <b v="0"/>
    <b v="0"/>
    <s v="theater/plays"/>
    <n v="-0.65847222222222224"/>
    <n v="32.786666666666669"/>
    <x v="3"/>
    <s v="plays"/>
    <x v="52"/>
    <d v="2010-09-19T05:00:00"/>
  </r>
  <r>
    <n v="53"/>
    <s v="Smith-Jones"/>
    <s v="Reverse-engineered static concept"/>
    <n v="8800"/>
    <n v="12356"/>
    <x v="1"/>
    <x v="52"/>
    <x v="1"/>
    <s v="USD"/>
    <n v="1400562000"/>
    <n v="1403931600"/>
    <b v="0"/>
    <b v="0"/>
    <s v="film &amp; video/drama"/>
    <n v="0.4040909090909091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x v="53"/>
    <x v="1"/>
    <s v="USD"/>
    <n v="1520748000"/>
    <n v="1521262800"/>
    <b v="0"/>
    <b v="0"/>
    <s v="technology/wearables"/>
    <n v="-0.10133333333333333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x v="54"/>
    <x v="1"/>
    <s v="USD"/>
    <n v="1532926800"/>
    <n v="1533358800"/>
    <b v="0"/>
    <b v="0"/>
    <s v="music/jazz"/>
    <n v="0.7796969696969696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x v="55"/>
    <x v="1"/>
    <s v="USD"/>
    <n v="1420869600"/>
    <n v="1421474400"/>
    <b v="0"/>
    <b v="0"/>
    <s v="technology/wearables"/>
    <n v="0.4366249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x v="56"/>
    <x v="1"/>
    <s v="USD"/>
    <n v="1504242000"/>
    <n v="1505278800"/>
    <b v="0"/>
    <b v="0"/>
    <s v="games/video games"/>
    <n v="1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x v="57"/>
    <x v="1"/>
    <s v="USD"/>
    <n v="1442811600"/>
    <n v="1443934800"/>
    <b v="0"/>
    <b v="0"/>
    <s v="theater/plays"/>
    <n v="1.2711111111111111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x v="58"/>
    <x v="1"/>
    <s v="USD"/>
    <n v="1497243600"/>
    <n v="1498539600"/>
    <b v="0"/>
    <b v="1"/>
    <s v="theater/plays"/>
    <n v="1.7507142857142857"/>
    <n v="30.0859375"/>
    <x v="3"/>
    <s v="plays"/>
    <x v="59"/>
    <d v="2017-06-27T05:00:00"/>
  </r>
  <r>
    <n v="60"/>
    <s v="Crawford-Peters"/>
    <s v="User-centric regional database"/>
    <n v="94200"/>
    <n v="135997"/>
    <x v="1"/>
    <x v="59"/>
    <x v="0"/>
    <s v="CAD"/>
    <n v="1342501200"/>
    <n v="1342760400"/>
    <b v="0"/>
    <b v="0"/>
    <s v="theater/plays"/>
    <n v="0.4437048832271762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x v="60"/>
    <x v="0"/>
    <s v="CAD"/>
    <n v="1298268000"/>
    <n v="1301720400"/>
    <b v="0"/>
    <b v="0"/>
    <s v="theater/plays"/>
    <n v="-7.2540160642570281E-2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x v="61"/>
    <x v="1"/>
    <s v="USD"/>
    <n v="1433480400"/>
    <n v="1433566800"/>
    <b v="0"/>
    <b v="0"/>
    <s v="technology/web"/>
    <n v="6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x v="62"/>
    <x v="1"/>
    <s v="USD"/>
    <n v="1493355600"/>
    <n v="1493874000"/>
    <b v="0"/>
    <b v="0"/>
    <s v="theater/plays"/>
    <n v="-0.88148936170212766"/>
    <n v="111.4"/>
    <x v="3"/>
    <s v="plays"/>
    <x v="63"/>
    <d v="2017-05-04T05:00:00"/>
  </r>
  <r>
    <n v="64"/>
    <s v="Mosley-Gilbert"/>
    <s v="Vision-oriented logistical intranet"/>
    <n v="2800"/>
    <n v="2734"/>
    <x v="0"/>
    <x v="63"/>
    <x v="1"/>
    <s v="USD"/>
    <n v="1530507600"/>
    <n v="1531803600"/>
    <b v="0"/>
    <b v="1"/>
    <s v="technology/web"/>
    <n v="-2.3571428571428573E-2"/>
    <n v="71.94736842105263"/>
    <x v="2"/>
    <s v="web"/>
    <x v="64"/>
    <d v="2018-07-17T05:00:00"/>
  </r>
  <r>
    <n v="65"/>
    <s v="Berry-Boyer"/>
    <s v="Mandatory incremental projection"/>
    <n v="6100"/>
    <n v="14405"/>
    <x v="1"/>
    <x v="64"/>
    <x v="1"/>
    <s v="USD"/>
    <n v="1296108000"/>
    <n v="1296712800"/>
    <b v="0"/>
    <b v="0"/>
    <s v="theater/plays"/>
    <n v="1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x v="65"/>
    <x v="1"/>
    <s v="USD"/>
    <n v="1428469200"/>
    <n v="1428901200"/>
    <b v="0"/>
    <b v="1"/>
    <s v="theater/plays"/>
    <n v="-0.54931034482758623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x v="66"/>
    <x v="4"/>
    <s v="GBP"/>
    <n v="1264399200"/>
    <n v="1264831200"/>
    <b v="0"/>
    <b v="1"/>
    <s v="technology/wearables"/>
    <n v="0.62385674931129476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x v="67"/>
    <x v="6"/>
    <s v="EUR"/>
    <n v="1501131600"/>
    <n v="1505192400"/>
    <b v="0"/>
    <b v="1"/>
    <s v="theater/plays"/>
    <n v="1.5452631578947369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x v="68"/>
    <x v="1"/>
    <s v="USD"/>
    <n v="1292738400"/>
    <n v="1295676000"/>
    <b v="0"/>
    <b v="0"/>
    <s v="theater/plays"/>
    <n v="-0.75936708860759494"/>
    <n v="111.82352941176471"/>
    <x v="3"/>
    <s v="plays"/>
    <x v="69"/>
    <d v="2011-01-22T06:00:00"/>
  </r>
  <r>
    <n v="70"/>
    <s v="Barker Inc"/>
    <s v="Re-engineered 24/7 task-force"/>
    <n v="128000"/>
    <n v="158389"/>
    <x v="1"/>
    <x v="69"/>
    <x v="6"/>
    <s v="EUR"/>
    <n v="1288674000"/>
    <n v="1292911200"/>
    <b v="0"/>
    <b v="1"/>
    <s v="theater/plays"/>
    <n v="0.23741406249999999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x v="70"/>
    <x v="1"/>
    <s v="USD"/>
    <n v="1575093600"/>
    <n v="1575439200"/>
    <b v="0"/>
    <b v="0"/>
    <s v="theater/plays"/>
    <n v="8.0666666666666664E-2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x v="71"/>
    <x v="1"/>
    <s v="USD"/>
    <n v="1435726800"/>
    <n v="1438837200"/>
    <b v="0"/>
    <b v="0"/>
    <s v="film &amp; video/animation"/>
    <n v="5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x v="39"/>
    <x v="1"/>
    <s v="USD"/>
    <n v="1480226400"/>
    <n v="1480485600"/>
    <b v="0"/>
    <b v="0"/>
    <s v="music/jazz"/>
    <n v="5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x v="72"/>
    <x v="4"/>
    <s v="GBP"/>
    <n v="1459054800"/>
    <n v="1459141200"/>
    <b v="0"/>
    <b v="0"/>
    <s v="music/metal"/>
    <n v="0.22461538461538461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x v="73"/>
    <x v="1"/>
    <s v="USD"/>
    <n v="1531630800"/>
    <n v="1532322000"/>
    <b v="0"/>
    <b v="0"/>
    <s v="photography/photography books"/>
    <n v="0.5057731958762886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x v="74"/>
    <x v="1"/>
    <s v="USD"/>
    <n v="1421992800"/>
    <n v="1426222800"/>
    <b v="1"/>
    <b v="1"/>
    <s v="theater/plays"/>
    <n v="-0.21893409275834011"/>
    <n v="57.00296912114014"/>
    <x v="3"/>
    <s v="plays"/>
    <x v="76"/>
    <d v="2015-03-13T05:00:00"/>
  </r>
  <r>
    <n v="77"/>
    <s v="Acevedo-Huffman"/>
    <s v="Pre-emptive impactful model"/>
    <n v="9500"/>
    <n v="4460"/>
    <x v="0"/>
    <x v="75"/>
    <x v="1"/>
    <s v="USD"/>
    <n v="1285563600"/>
    <n v="1286773200"/>
    <b v="0"/>
    <b v="1"/>
    <s v="film &amp; video/animation"/>
    <n v="-0.5305263157894737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x v="76"/>
    <x v="1"/>
    <s v="USD"/>
    <n v="1523854800"/>
    <n v="1523941200"/>
    <b v="0"/>
    <b v="0"/>
    <s v="publishing/translations"/>
    <n v="2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x v="77"/>
    <x v="1"/>
    <s v="USD"/>
    <n v="1529125200"/>
    <n v="1529557200"/>
    <b v="0"/>
    <b v="0"/>
    <s v="theater/plays"/>
    <n v="-0.3040138408304498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x v="78"/>
    <x v="1"/>
    <s v="USD"/>
    <n v="1503982800"/>
    <n v="1506574800"/>
    <b v="0"/>
    <b v="0"/>
    <s v="games/video games"/>
    <n v="5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x v="79"/>
    <x v="1"/>
    <s v="USD"/>
    <n v="1511416800"/>
    <n v="1513576800"/>
    <b v="0"/>
    <b v="0"/>
    <s v="music/rock"/>
    <n v="1.2533928571428572"/>
    <n v="92.109489051094897"/>
    <x v="1"/>
    <s v="rock"/>
    <x v="81"/>
    <d v="2017-12-18T06:00:00"/>
  </r>
  <r>
    <n v="82"/>
    <s v="Porter-George"/>
    <s v="Reactive content-based framework"/>
    <n v="1000"/>
    <n v="14973"/>
    <x v="1"/>
    <x v="80"/>
    <x v="4"/>
    <s v="GBP"/>
    <n v="1547704800"/>
    <n v="1548309600"/>
    <b v="0"/>
    <b v="1"/>
    <s v="games/video games"/>
    <n v="13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x v="81"/>
    <x v="1"/>
    <s v="USD"/>
    <n v="1469682000"/>
    <n v="1471582800"/>
    <b v="0"/>
    <b v="0"/>
    <s v="music/electric music"/>
    <n v="-0.6240977443609022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x v="82"/>
    <x v="1"/>
    <s v="USD"/>
    <n v="1343451600"/>
    <n v="1344315600"/>
    <b v="0"/>
    <b v="0"/>
    <s v="technology/wearables"/>
    <n v="0.3236942675159235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x v="83"/>
    <x v="2"/>
    <s v="AUD"/>
    <n v="1315717200"/>
    <n v="1316408400"/>
    <b v="0"/>
    <b v="0"/>
    <s v="music/indie rock"/>
    <n v="0.31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x v="84"/>
    <x v="1"/>
    <s v="USD"/>
    <n v="1430715600"/>
    <n v="1431838800"/>
    <b v="1"/>
    <b v="0"/>
    <s v="theater/plays"/>
    <n v="0.67635135135135138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x v="85"/>
    <x v="2"/>
    <s v="AUD"/>
    <n v="1299564000"/>
    <n v="1300510800"/>
    <b v="0"/>
    <b v="1"/>
    <s v="music/rock"/>
    <n v="-0.38015113350125945"/>
    <n v="83.022941970310384"/>
    <x v="1"/>
    <s v="rock"/>
    <x v="87"/>
    <d v="2011-03-19T05:00:00"/>
  </r>
  <r>
    <n v="88"/>
    <s v="Clark Group"/>
    <s v="Grass-roots fault-tolerant policy"/>
    <n v="4800"/>
    <n v="12516"/>
    <x v="1"/>
    <x v="86"/>
    <x v="1"/>
    <s v="USD"/>
    <n v="1429160400"/>
    <n v="1431061200"/>
    <b v="0"/>
    <b v="0"/>
    <s v="publishing/translations"/>
    <n v="1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x v="87"/>
    <x v="1"/>
    <s v="USD"/>
    <n v="1271307600"/>
    <n v="1271480400"/>
    <b v="0"/>
    <b v="0"/>
    <s v="theater/plays"/>
    <n v="1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x v="88"/>
    <x v="1"/>
    <s v="USD"/>
    <n v="1456380000"/>
    <n v="1456380000"/>
    <b v="0"/>
    <b v="1"/>
    <s v="theater/plays"/>
    <n v="-0.21384615384615385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x v="89"/>
    <x v="6"/>
    <s v="EUR"/>
    <n v="1470459600"/>
    <n v="1472878800"/>
    <b v="0"/>
    <b v="0"/>
    <s v="publishing/translations"/>
    <n v="-0.51595593000648088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x v="90"/>
    <x v="5"/>
    <s v="CHF"/>
    <n v="1277269200"/>
    <n v="1277355600"/>
    <b v="0"/>
    <b v="1"/>
    <s v="games/video games"/>
    <n v="1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x v="91"/>
    <x v="1"/>
    <s v="USD"/>
    <n v="1350709200"/>
    <n v="1351054800"/>
    <b v="0"/>
    <b v="1"/>
    <s v="theater/plays"/>
    <n v="-0.39451286764705884"/>
    <n v="107.99508196721311"/>
    <x v="3"/>
    <s v="plays"/>
    <x v="93"/>
    <d v="2012-10-24T05:00:00"/>
  </r>
  <r>
    <n v="94"/>
    <s v="Hanson Inc"/>
    <s v="Grass-roots web-enabled contingency"/>
    <n v="2900"/>
    <n v="8807"/>
    <x v="1"/>
    <x v="80"/>
    <x v="4"/>
    <s v="GBP"/>
    <n v="1554613200"/>
    <n v="1555563600"/>
    <b v="0"/>
    <b v="0"/>
    <s v="technology/web"/>
    <n v="2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x v="11"/>
    <x v="1"/>
    <s v="USD"/>
    <n v="1571029200"/>
    <n v="1571634000"/>
    <b v="0"/>
    <b v="0"/>
    <s v="film &amp; video/documentary"/>
    <n v="0.13"/>
    <n v="37.666666666666664"/>
    <x v="4"/>
    <s v="documentary"/>
    <x v="95"/>
    <d v="2019-10-21T05:00:00"/>
  </r>
  <r>
    <n v="96"/>
    <s v="Howard Ltd"/>
    <s v="Down-sized systematic policy"/>
    <n v="69700"/>
    <n v="151513"/>
    <x v="1"/>
    <x v="92"/>
    <x v="1"/>
    <s v="USD"/>
    <n v="1299736800"/>
    <n v="1300856400"/>
    <b v="0"/>
    <b v="0"/>
    <s v="theater/plays"/>
    <n v="1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x v="86"/>
    <x v="1"/>
    <s v="USD"/>
    <n v="1435208400"/>
    <n v="1439874000"/>
    <b v="0"/>
    <b v="0"/>
    <s v="food/food trucks"/>
    <n v="8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x v="93"/>
    <x v="2"/>
    <s v="AUD"/>
    <n v="1437973200"/>
    <n v="1438318800"/>
    <b v="0"/>
    <b v="0"/>
    <s v="games/video games"/>
    <n v="-0.66307770961145196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x v="55"/>
    <x v="1"/>
    <s v="USD"/>
    <n v="1416895200"/>
    <n v="1419400800"/>
    <b v="0"/>
    <b v="0"/>
    <s v="theater/plays"/>
    <n v="0.96723684210526317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x v="49"/>
    <x v="1"/>
    <s v="USD"/>
    <n v="1319000400"/>
    <n v="1320555600"/>
    <b v="0"/>
    <b v="0"/>
    <s v="theater/plays"/>
    <n v="-0.99"/>
    <n v="1"/>
    <x v="3"/>
    <s v="plays"/>
    <x v="99"/>
    <d v="2011-11-06T05:00:00"/>
  </r>
  <r>
    <n v="101"/>
    <s v="Douglas LLC"/>
    <s v="Reduced heuristic moratorium"/>
    <n v="900"/>
    <n v="9193"/>
    <x v="1"/>
    <x v="55"/>
    <x v="1"/>
    <s v="USD"/>
    <n v="1424498400"/>
    <n v="1425103200"/>
    <b v="0"/>
    <b v="1"/>
    <s v="music/electric music"/>
    <n v="9.2144444444444442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x v="94"/>
    <x v="1"/>
    <s v="USD"/>
    <n v="1526274000"/>
    <n v="1526878800"/>
    <b v="0"/>
    <b v="1"/>
    <s v="technology/wearables"/>
    <n v="1.8167567567567569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x v="95"/>
    <x v="6"/>
    <s v="EUR"/>
    <n v="1287896400"/>
    <n v="1288674000"/>
    <b v="0"/>
    <b v="0"/>
    <s v="music/electric music"/>
    <n v="-0.7539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x v="96"/>
    <x v="1"/>
    <s v="USD"/>
    <n v="1495515600"/>
    <n v="1495602000"/>
    <b v="0"/>
    <b v="0"/>
    <s v="music/indie rock"/>
    <n v="0.43140100671140941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x v="97"/>
    <x v="1"/>
    <s v="USD"/>
    <n v="1364878800"/>
    <n v="1366434000"/>
    <b v="0"/>
    <b v="0"/>
    <s v="technology/web"/>
    <n v="0.4454411764705882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x v="98"/>
    <x v="1"/>
    <s v="USD"/>
    <n v="1567918800"/>
    <n v="1568350800"/>
    <b v="0"/>
    <b v="0"/>
    <s v="theater/plays"/>
    <n v="2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x v="99"/>
    <x v="1"/>
    <s v="USD"/>
    <n v="1524459600"/>
    <n v="1525928400"/>
    <b v="0"/>
    <b v="1"/>
    <s v="theater/plays"/>
    <n v="0.8648571428571428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x v="100"/>
    <x v="1"/>
    <s v="USD"/>
    <n v="1333688400"/>
    <n v="1336885200"/>
    <b v="0"/>
    <b v="0"/>
    <s v="film &amp; video/documentary"/>
    <n v="4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x v="101"/>
    <x v="1"/>
    <s v="USD"/>
    <n v="1389506400"/>
    <n v="1389679200"/>
    <b v="0"/>
    <b v="0"/>
    <s v="film &amp; video/television"/>
    <n v="-0.4078846153846154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x v="102"/>
    <x v="1"/>
    <s v="USD"/>
    <n v="1536642000"/>
    <n v="1538283600"/>
    <b v="0"/>
    <b v="0"/>
    <s v="food/food trucks"/>
    <n v="-0.85037219101123596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x v="103"/>
    <x v="1"/>
    <s v="USD"/>
    <n v="1348290000"/>
    <n v="1348808400"/>
    <b v="0"/>
    <b v="0"/>
    <s v="publishing/radio &amp; podcasts"/>
    <n v="0.19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x v="104"/>
    <x v="2"/>
    <s v="AUD"/>
    <n v="1408856400"/>
    <n v="1410152400"/>
    <b v="0"/>
    <b v="0"/>
    <s v="technology/web"/>
    <n v="1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x v="54"/>
    <x v="1"/>
    <s v="USD"/>
    <n v="1505192400"/>
    <n v="1505797200"/>
    <b v="0"/>
    <b v="0"/>
    <s v="food/food trucks"/>
    <n v="2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x v="105"/>
    <x v="1"/>
    <s v="USD"/>
    <n v="1554786000"/>
    <n v="1554872400"/>
    <b v="0"/>
    <b v="1"/>
    <s v="technology/wearables"/>
    <n v="6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x v="106"/>
    <x v="6"/>
    <s v="EUR"/>
    <n v="1510898400"/>
    <n v="1513922400"/>
    <b v="0"/>
    <b v="0"/>
    <s v="publishing/fiction"/>
    <n v="-0.12788242351529694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x v="107"/>
    <x v="1"/>
    <s v="USD"/>
    <n v="1442552400"/>
    <n v="1442638800"/>
    <b v="0"/>
    <b v="0"/>
    <s v="theater/plays"/>
    <n v="-0.12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x v="108"/>
    <x v="1"/>
    <s v="USD"/>
    <n v="1316667600"/>
    <n v="1317186000"/>
    <b v="0"/>
    <b v="0"/>
    <s v="film &amp; video/television"/>
    <n v="0.7393877551020408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x v="109"/>
    <x v="1"/>
    <s v="USD"/>
    <n v="1390716000"/>
    <n v="1391234400"/>
    <b v="0"/>
    <b v="0"/>
    <s v="photography/photography books"/>
    <n v="0.1761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x v="110"/>
    <x v="1"/>
    <s v="USD"/>
    <n v="1402894800"/>
    <n v="1404363600"/>
    <b v="0"/>
    <b v="1"/>
    <s v="film &amp; video/documentary"/>
    <n v="1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x v="111"/>
    <x v="1"/>
    <s v="USD"/>
    <n v="1429246800"/>
    <n v="1429592400"/>
    <b v="0"/>
    <b v="1"/>
    <s v="games/mobile games"/>
    <n v="0.49496671105193074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x v="112"/>
    <x v="1"/>
    <s v="USD"/>
    <n v="1412485200"/>
    <n v="1413608400"/>
    <b v="0"/>
    <b v="0"/>
    <s v="games/video games"/>
    <n v="1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x v="113"/>
    <x v="1"/>
    <s v="USD"/>
    <n v="1417068000"/>
    <n v="1419400800"/>
    <b v="0"/>
    <b v="0"/>
    <s v="publishing/fiction"/>
    <n v="-0.35632309941520468"/>
    <n v="25.997933274284026"/>
    <x v="5"/>
    <s v="fiction"/>
    <x v="120"/>
    <d v="2014-12-24T06:00:00"/>
  </r>
  <r>
    <n v="123"/>
    <s v="Edwards-Lewis"/>
    <s v="Enhanced scalable concept"/>
    <n v="177700"/>
    <n v="33092"/>
    <x v="0"/>
    <x v="114"/>
    <x v="0"/>
    <s v="CAD"/>
    <n v="1448344800"/>
    <n v="1448604000"/>
    <b v="1"/>
    <b v="0"/>
    <s v="theater/plays"/>
    <n v="-0.8137760270118176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x v="115"/>
    <x v="6"/>
    <s v="EUR"/>
    <n v="1557723600"/>
    <n v="1562302800"/>
    <b v="0"/>
    <b v="0"/>
    <s v="photography/photography books"/>
    <n v="2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x v="80"/>
    <x v="1"/>
    <s v="USD"/>
    <n v="1537333200"/>
    <n v="1537678800"/>
    <b v="0"/>
    <b v="0"/>
    <s v="theater/plays"/>
    <n v="0.59905660377358494"/>
    <n v="47.083333333333336"/>
    <x v="3"/>
    <s v="plays"/>
    <x v="123"/>
    <d v="2018-09-23T05:00:00"/>
  </r>
  <r>
    <n v="126"/>
    <s v="Gross PLC"/>
    <s v="Proactive methodical benchmark"/>
    <n v="180200"/>
    <n v="69617"/>
    <x v="0"/>
    <x v="116"/>
    <x v="1"/>
    <s v="USD"/>
    <n v="1471150800"/>
    <n v="1473570000"/>
    <b v="0"/>
    <b v="1"/>
    <s v="theater/plays"/>
    <n v="-0.61366814650388457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x v="117"/>
    <x v="0"/>
    <s v="CAD"/>
    <n v="1273640400"/>
    <n v="1273899600"/>
    <b v="0"/>
    <b v="0"/>
    <s v="theater/plays"/>
    <n v="-0.48578488372093021"/>
    <n v="78.96875"/>
    <x v="3"/>
    <s v="plays"/>
    <x v="125"/>
    <d v="2010-05-15T05:00:00"/>
  </r>
  <r>
    <n v="128"/>
    <s v="Allen-Curtis"/>
    <s v="Phased human-resource core"/>
    <n v="70600"/>
    <n v="42596"/>
    <x v="3"/>
    <x v="118"/>
    <x v="1"/>
    <s v="USD"/>
    <n v="1282885200"/>
    <n v="1284008400"/>
    <b v="0"/>
    <b v="0"/>
    <s v="music/rock"/>
    <n v="-0.39665722379603402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x v="12"/>
    <x v="2"/>
    <s v="AUD"/>
    <n v="1422943200"/>
    <n v="1425103200"/>
    <b v="0"/>
    <b v="0"/>
    <s v="food/food trucks"/>
    <n v="-0.9679730639730639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x v="119"/>
    <x v="3"/>
    <s v="DKK"/>
    <n v="1319605200"/>
    <n v="1320991200"/>
    <b v="0"/>
    <b v="0"/>
    <s v="film &amp; video/drama"/>
    <n v="0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x v="120"/>
    <x v="4"/>
    <s v="GBP"/>
    <n v="1385704800"/>
    <n v="1386828000"/>
    <b v="0"/>
    <b v="0"/>
    <s v="technology/web"/>
    <n v="8.5974499089253188E-3"/>
    <n v="67.996725337699544"/>
    <x v="2"/>
    <s v="web"/>
    <x v="129"/>
    <d v="2013-12-12T06:00:00"/>
  </r>
  <r>
    <n v="132"/>
    <s v="Flowers and Sons"/>
    <s v="Virtual static core"/>
    <n v="3300"/>
    <n v="3834"/>
    <x v="1"/>
    <x v="121"/>
    <x v="1"/>
    <s v="USD"/>
    <n v="1515736800"/>
    <n v="1517119200"/>
    <b v="0"/>
    <b v="1"/>
    <s v="theater/plays"/>
    <n v="0.16181818181818181"/>
    <n v="43.078651685393261"/>
    <x v="3"/>
    <s v="plays"/>
    <x v="130"/>
    <d v="2018-01-28T06:00:00"/>
  </r>
  <r>
    <n v="133"/>
    <s v="Gates PLC"/>
    <s v="Secured content-based product"/>
    <n v="4500"/>
    <n v="13985"/>
    <x v="1"/>
    <x v="122"/>
    <x v="1"/>
    <s v="USD"/>
    <n v="1313125200"/>
    <n v="1315026000"/>
    <b v="0"/>
    <b v="0"/>
    <s v="music/world music"/>
    <n v="2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x v="123"/>
    <x v="5"/>
    <s v="CHF"/>
    <n v="1308459600"/>
    <n v="1312693200"/>
    <b v="0"/>
    <b v="1"/>
    <s v="film &amp; video/documentary"/>
    <n v="-0.10263316582914572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x v="124"/>
    <x v="1"/>
    <s v="USD"/>
    <n v="1362636000"/>
    <n v="1363064400"/>
    <b v="0"/>
    <b v="1"/>
    <s v="theater/plays"/>
    <n v="-0.28727272727272729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x v="125"/>
    <x v="1"/>
    <s v="USD"/>
    <n v="1402117200"/>
    <n v="1403154000"/>
    <b v="0"/>
    <b v="1"/>
    <s v="film &amp; video/drama"/>
    <n v="-0.96713768115942034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x v="126"/>
    <x v="1"/>
    <s v="USD"/>
    <n v="1286341200"/>
    <n v="1286859600"/>
    <b v="0"/>
    <b v="0"/>
    <s v="publishing/nonfiction"/>
    <n v="1.617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x v="127"/>
    <x v="1"/>
    <s v="USD"/>
    <n v="1348808400"/>
    <n v="1349326800"/>
    <b v="0"/>
    <b v="0"/>
    <s v="games/mobile games"/>
    <n v="-0.04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x v="128"/>
    <x v="1"/>
    <s v="USD"/>
    <n v="1429592400"/>
    <n v="1430974800"/>
    <b v="0"/>
    <b v="1"/>
    <s v="technology/wearables"/>
    <n v="-0.79103148751357222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x v="129"/>
    <x v="1"/>
    <s v="USD"/>
    <n v="1519538400"/>
    <n v="1519970400"/>
    <b v="0"/>
    <b v="0"/>
    <s v="film &amp; video/documentary"/>
    <n v="1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x v="130"/>
    <x v="1"/>
    <s v="USD"/>
    <n v="1434085200"/>
    <n v="1434603600"/>
    <b v="0"/>
    <b v="0"/>
    <s v="technology/web"/>
    <n v="1.5909797822706066E-2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x v="124"/>
    <x v="1"/>
    <s v="USD"/>
    <n v="1333688400"/>
    <n v="1337230800"/>
    <b v="0"/>
    <b v="0"/>
    <s v="technology/web"/>
    <n v="1.3004"/>
    <n v="98.307692307692307"/>
    <x v="2"/>
    <s v="web"/>
    <x v="107"/>
    <d v="2012-05-17T05:00:00"/>
  </r>
  <r>
    <n v="143"/>
    <s v="Avila-Jones"/>
    <s v="Implemented discrete secured line"/>
    <n v="5400"/>
    <n v="7322"/>
    <x v="1"/>
    <x v="131"/>
    <x v="1"/>
    <s v="USD"/>
    <n v="1277701200"/>
    <n v="1279429200"/>
    <b v="0"/>
    <b v="0"/>
    <s v="music/indie rock"/>
    <n v="0.35592592592592592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x v="18"/>
    <x v="1"/>
    <s v="USD"/>
    <n v="1560747600"/>
    <n v="1561438800"/>
    <b v="0"/>
    <b v="0"/>
    <s v="theater/plays"/>
    <n v="0.29099999999999998"/>
    <n v="86.066666666666663"/>
    <x v="3"/>
    <s v="plays"/>
    <x v="141"/>
    <d v="2019-06-25T05:00:00"/>
  </r>
  <r>
    <n v="145"/>
    <s v="Fields-Moore"/>
    <s v="Secured reciprocal array"/>
    <n v="25000"/>
    <n v="59128"/>
    <x v="1"/>
    <x v="132"/>
    <x v="5"/>
    <s v="CHF"/>
    <n v="1410066000"/>
    <n v="1410498000"/>
    <b v="0"/>
    <b v="0"/>
    <s v="technology/wearables"/>
    <n v="1.3651199999999999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x v="133"/>
    <x v="1"/>
    <s v="USD"/>
    <n v="1320732000"/>
    <n v="1322460000"/>
    <b v="0"/>
    <b v="0"/>
    <s v="theater/plays"/>
    <n v="-0.82750000000000001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x v="134"/>
    <x v="1"/>
    <s v="USD"/>
    <n v="1465794000"/>
    <n v="1466312400"/>
    <b v="0"/>
    <b v="1"/>
    <s v="theater/plays"/>
    <n v="0.12493975903614458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x v="37"/>
    <x v="1"/>
    <s v="USD"/>
    <n v="1500958800"/>
    <n v="1501736400"/>
    <b v="0"/>
    <b v="0"/>
    <s v="technology/wearables"/>
    <n v="0.21021505376344085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x v="135"/>
    <x v="1"/>
    <s v="USD"/>
    <n v="1357020000"/>
    <n v="1361512800"/>
    <b v="0"/>
    <b v="0"/>
    <s v="music/indie rock"/>
    <n v="1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x v="49"/>
    <x v="1"/>
    <s v="USD"/>
    <n v="1544940000"/>
    <n v="1545026400"/>
    <b v="0"/>
    <b v="0"/>
    <s v="music/rock"/>
    <n v="-0.99"/>
    <n v="1"/>
    <x v="1"/>
    <s v="rock"/>
    <x v="147"/>
    <d v="2018-12-17T06:00:00"/>
  </r>
  <r>
    <n v="151"/>
    <s v="Parker LLC"/>
    <s v="Customizable intermediate extranet"/>
    <n v="137200"/>
    <n v="88037"/>
    <x v="0"/>
    <x v="50"/>
    <x v="1"/>
    <s v="USD"/>
    <n v="1402290000"/>
    <n v="1406696400"/>
    <b v="0"/>
    <b v="0"/>
    <s v="music/electric music"/>
    <n v="-0.35833090379008747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x v="136"/>
    <x v="1"/>
    <s v="USD"/>
    <n v="1487311200"/>
    <n v="1487916000"/>
    <b v="0"/>
    <b v="0"/>
    <s v="music/indie rock"/>
    <n v="3.2306746987951809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x v="137"/>
    <x v="1"/>
    <s v="USD"/>
    <n v="1350622800"/>
    <n v="1351141200"/>
    <b v="0"/>
    <b v="0"/>
    <s v="theater/plays"/>
    <n v="-7.0158394931362195E-2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x v="138"/>
    <x v="1"/>
    <s v="USD"/>
    <n v="1463029200"/>
    <n v="1465016400"/>
    <b v="0"/>
    <b v="1"/>
    <s v="music/indie rock"/>
    <n v="-0.41243432574430822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x v="139"/>
    <x v="1"/>
    <s v="USD"/>
    <n v="1269493200"/>
    <n v="1270789200"/>
    <b v="0"/>
    <b v="0"/>
    <s v="theater/plays"/>
    <n v="-0.3497777777777778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x v="140"/>
    <x v="2"/>
    <s v="AUD"/>
    <n v="1570251600"/>
    <n v="1572325200"/>
    <b v="0"/>
    <b v="0"/>
    <s v="music/rock"/>
    <n v="-0.2606043956043955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x v="141"/>
    <x v="2"/>
    <s v="AUD"/>
    <n v="1388383200"/>
    <n v="1389420000"/>
    <b v="0"/>
    <b v="0"/>
    <s v="photography/photography books"/>
    <n v="-0.47333333333333333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x v="142"/>
    <x v="1"/>
    <s v="USD"/>
    <n v="1449554400"/>
    <n v="1449640800"/>
    <b v="0"/>
    <b v="0"/>
    <s v="music/rock"/>
    <n v="1.2095238095238094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x v="143"/>
    <x v="1"/>
    <s v="USD"/>
    <n v="1553662800"/>
    <n v="1555218000"/>
    <b v="0"/>
    <b v="1"/>
    <s v="theater/plays"/>
    <n v="1.1506276150627615E-4"/>
    <n v="105.00933552992861"/>
    <x v="3"/>
    <s v="plays"/>
    <x v="156"/>
    <d v="2019-04-14T05:00:00"/>
  </r>
  <r>
    <n v="160"/>
    <s v="Evans Group"/>
    <s v="Stand-alone actuating support"/>
    <n v="8000"/>
    <n v="12985"/>
    <x v="1"/>
    <x v="55"/>
    <x v="1"/>
    <s v="USD"/>
    <n v="1556341200"/>
    <n v="1557723600"/>
    <b v="0"/>
    <b v="0"/>
    <s v="technology/wearables"/>
    <n v="0.62312500000000004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x v="51"/>
    <x v="1"/>
    <s v="USD"/>
    <n v="1442984400"/>
    <n v="1443502800"/>
    <b v="0"/>
    <b v="1"/>
    <s v="technology/web"/>
    <n v="-0.2181818181818181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x v="144"/>
    <x v="5"/>
    <s v="CHF"/>
    <n v="1544248800"/>
    <n v="1546840800"/>
    <b v="0"/>
    <b v="0"/>
    <s v="music/rock"/>
    <n v="0.49737704918032788"/>
    <n v="58.178343949044589"/>
    <x v="1"/>
    <s v="rock"/>
    <x v="159"/>
    <d v="2019-01-07T06:00:00"/>
  </r>
  <r>
    <n v="163"/>
    <s v="Burton-Watkins"/>
    <s v="Extended reciprocal circuit"/>
    <n v="3500"/>
    <n v="8864"/>
    <x v="1"/>
    <x v="67"/>
    <x v="1"/>
    <s v="USD"/>
    <n v="1508475600"/>
    <n v="1512712800"/>
    <b v="0"/>
    <b v="1"/>
    <s v="photography/photography books"/>
    <n v="1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x v="20"/>
    <x v="1"/>
    <s v="USD"/>
    <n v="1507438800"/>
    <n v="1507525200"/>
    <b v="0"/>
    <b v="0"/>
    <s v="theater/plays"/>
    <n v="1.6943521594684386E-3"/>
    <n v="107.99068767908309"/>
    <x v="3"/>
    <s v="plays"/>
    <x v="161"/>
    <d v="2017-10-09T05:00:00"/>
  </r>
  <r>
    <n v="165"/>
    <s v="Cordova Ltd"/>
    <s v="Synergized radical product"/>
    <n v="90400"/>
    <n v="110279"/>
    <x v="1"/>
    <x v="145"/>
    <x v="1"/>
    <s v="USD"/>
    <n v="1501563600"/>
    <n v="1504328400"/>
    <b v="0"/>
    <b v="0"/>
    <s v="technology/web"/>
    <n v="0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x v="146"/>
    <x v="1"/>
    <s v="USD"/>
    <n v="1292997600"/>
    <n v="1293343200"/>
    <b v="0"/>
    <b v="0"/>
    <s v="photography/photography books"/>
    <n v="0.37132653061224491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x v="147"/>
    <x v="2"/>
    <s v="AUD"/>
    <n v="1370840400"/>
    <n v="1371704400"/>
    <b v="0"/>
    <b v="0"/>
    <s v="theater/plays"/>
    <n v="3.1553846153846155"/>
    <n v="74"/>
    <x v="3"/>
    <s v="plays"/>
    <x v="164"/>
    <d v="2013-06-20T05:00:00"/>
  </r>
  <r>
    <n v="168"/>
    <s v="Hernandez Group"/>
    <s v="Ergonomic uniform open system"/>
    <n v="128100"/>
    <n v="40107"/>
    <x v="0"/>
    <x v="148"/>
    <x v="3"/>
    <s v="DKK"/>
    <n v="1550815200"/>
    <n v="1552798800"/>
    <b v="0"/>
    <b v="1"/>
    <s v="music/indie rock"/>
    <n v="-0.6869086651053864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x v="149"/>
    <x v="1"/>
    <s v="USD"/>
    <n v="1339909200"/>
    <n v="1342328400"/>
    <b v="0"/>
    <b v="1"/>
    <s v="film &amp; video/shorts"/>
    <n v="3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x v="109"/>
    <x v="1"/>
    <s v="USD"/>
    <n v="1501736400"/>
    <n v="1502341200"/>
    <b v="0"/>
    <b v="0"/>
    <s v="music/indie rock"/>
    <n v="-0.97061137692716637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x v="62"/>
    <x v="1"/>
    <s v="USD"/>
    <n v="1395291600"/>
    <n v="1397192400"/>
    <b v="0"/>
    <b v="0"/>
    <s v="publishing/translations"/>
    <n v="-0.89367346938775505"/>
    <n v="104.2"/>
    <x v="5"/>
    <s v="translations"/>
    <x v="168"/>
    <d v="2014-04-11T05:00:00"/>
  </r>
  <r>
    <n v="172"/>
    <s v="Nixon Inc"/>
    <s v="Centralized national firmware"/>
    <n v="800"/>
    <n v="663"/>
    <x v="0"/>
    <x v="150"/>
    <x v="1"/>
    <s v="USD"/>
    <n v="1405746000"/>
    <n v="1407042000"/>
    <b v="0"/>
    <b v="1"/>
    <s v="film &amp; video/documentary"/>
    <n v="-0.17125000000000001"/>
    <n v="25.5"/>
    <x v="4"/>
    <s v="documentary"/>
    <x v="169"/>
    <d v="2014-08-03T05:00:00"/>
  </r>
  <r>
    <n v="173"/>
    <s v="White LLC"/>
    <s v="Cross-group 4thgeneration middleware"/>
    <n v="96700"/>
    <n v="157635"/>
    <x v="1"/>
    <x v="151"/>
    <x v="1"/>
    <s v="USD"/>
    <n v="1368853200"/>
    <n v="1369371600"/>
    <b v="0"/>
    <b v="0"/>
    <s v="theater/plays"/>
    <n v="0.63014477766287491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x v="44"/>
    <x v="1"/>
    <s v="USD"/>
    <n v="1444021200"/>
    <n v="1444107600"/>
    <b v="0"/>
    <b v="1"/>
    <s v="technology/wearables"/>
    <n v="7.9466666666666663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x v="152"/>
    <x v="1"/>
    <s v="USD"/>
    <n v="1472619600"/>
    <n v="1474261200"/>
    <b v="0"/>
    <b v="0"/>
    <s v="theater/plays"/>
    <n v="-0.73808498896247243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x v="153"/>
    <x v="1"/>
    <s v="USD"/>
    <n v="1472878800"/>
    <n v="1473656400"/>
    <b v="0"/>
    <b v="0"/>
    <s v="theater/plays"/>
    <n v="-0.25165217391304345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x v="154"/>
    <x v="1"/>
    <s v="USD"/>
    <n v="1289800800"/>
    <n v="1291960800"/>
    <b v="0"/>
    <b v="0"/>
    <s v="theater/plays"/>
    <n v="3.1647680412371133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x v="155"/>
    <x v="1"/>
    <s v="USD"/>
    <n v="1505970000"/>
    <n v="1506747600"/>
    <b v="0"/>
    <b v="0"/>
    <s v="food/food trucks"/>
    <n v="-3.7916666666666668E-2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x v="156"/>
    <x v="0"/>
    <s v="CAD"/>
    <n v="1363496400"/>
    <n v="1363582800"/>
    <b v="0"/>
    <b v="1"/>
    <s v="theater/plays"/>
    <n v="2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x v="157"/>
    <x v="2"/>
    <s v="AUD"/>
    <n v="1269234000"/>
    <n v="1269666000"/>
    <b v="0"/>
    <b v="0"/>
    <s v="technology/wearables"/>
    <n v="2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x v="158"/>
    <x v="1"/>
    <s v="USD"/>
    <n v="1507093200"/>
    <n v="1508648400"/>
    <b v="0"/>
    <b v="0"/>
    <s v="technology/web"/>
    <n v="-0.38197674418604649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x v="159"/>
    <x v="3"/>
    <s v="DKK"/>
    <n v="1560574800"/>
    <n v="1561957200"/>
    <b v="0"/>
    <b v="0"/>
    <s v="theater/plays"/>
    <n v="6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x v="99"/>
    <x v="0"/>
    <s v="CAD"/>
    <n v="1284008400"/>
    <n v="1285131600"/>
    <b v="0"/>
    <b v="0"/>
    <s v="music/rock"/>
    <n v="-0.3088235294117647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x v="160"/>
    <x v="1"/>
    <s v="USD"/>
    <n v="1556859600"/>
    <n v="1556946000"/>
    <b v="0"/>
    <b v="0"/>
    <s v="theater/plays"/>
    <n v="1.9305555555555556"/>
    <n v="31.029411764705884"/>
    <x v="3"/>
    <s v="plays"/>
    <x v="181"/>
    <d v="2019-05-04T05:00:00"/>
  </r>
  <r>
    <n v="185"/>
    <s v="Bailey PLC"/>
    <s v="Innovative actuating conglomeration"/>
    <n v="1000"/>
    <n v="718"/>
    <x v="0"/>
    <x v="161"/>
    <x v="1"/>
    <s v="USD"/>
    <n v="1526187600"/>
    <n v="1527138000"/>
    <b v="0"/>
    <b v="0"/>
    <s v="film &amp; video/television"/>
    <n v="-0.281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x v="162"/>
    <x v="1"/>
    <s v="USD"/>
    <n v="1400821200"/>
    <n v="1402117200"/>
    <b v="0"/>
    <b v="0"/>
    <s v="theater/plays"/>
    <n v="-0.68065315315315311"/>
    <n v="32.006772009029348"/>
    <x v="3"/>
    <s v="plays"/>
    <x v="183"/>
    <d v="2014-06-07T05:00:00"/>
  </r>
  <r>
    <n v="187"/>
    <s v="Fox Group"/>
    <s v="Horizontal transitional paradigm"/>
    <n v="60200"/>
    <n v="138384"/>
    <x v="1"/>
    <x v="163"/>
    <x v="0"/>
    <s v="CAD"/>
    <n v="1361599200"/>
    <n v="1364014800"/>
    <b v="0"/>
    <b v="1"/>
    <s v="film &amp; video/shorts"/>
    <n v="1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x v="164"/>
    <x v="6"/>
    <s v="EUR"/>
    <n v="1417500000"/>
    <n v="1417586400"/>
    <b v="0"/>
    <b v="0"/>
    <s v="theater/plays"/>
    <n v="-0.67987804878048785"/>
    <n v="75"/>
    <x v="3"/>
    <s v="plays"/>
    <x v="185"/>
    <d v="2014-12-03T06:00:00"/>
  </r>
  <r>
    <n v="189"/>
    <s v="Anthony-Shaw"/>
    <s v="Switchable contextually-based access"/>
    <n v="191300"/>
    <n v="45004"/>
    <x v="3"/>
    <x v="165"/>
    <x v="1"/>
    <s v="USD"/>
    <n v="1457071200"/>
    <n v="1457071200"/>
    <b v="0"/>
    <b v="0"/>
    <s v="theater/plays"/>
    <n v="-0.76474647151071617"/>
    <n v="102.0498866213152"/>
    <x v="3"/>
    <s v="plays"/>
    <x v="186"/>
    <d v="2016-03-04T06:00:00"/>
  </r>
  <r>
    <n v="190"/>
    <s v="Cook LLC"/>
    <s v="Up-sized dynamic throughput"/>
    <n v="3700"/>
    <n v="2538"/>
    <x v="0"/>
    <x v="3"/>
    <x v="1"/>
    <s v="USD"/>
    <n v="1370322000"/>
    <n v="1370408400"/>
    <b v="0"/>
    <b v="1"/>
    <s v="theater/plays"/>
    <n v="-0.31405405405405407"/>
    <n v="105.75"/>
    <x v="3"/>
    <s v="plays"/>
    <x v="187"/>
    <d v="2013-06-05T05:00:00"/>
  </r>
  <r>
    <n v="191"/>
    <s v="Sutton PLC"/>
    <s v="Mandatory reciprocal superstructure"/>
    <n v="8400"/>
    <n v="3188"/>
    <x v="0"/>
    <x v="99"/>
    <x v="6"/>
    <s v="EUR"/>
    <n v="1552366800"/>
    <n v="1552626000"/>
    <b v="0"/>
    <b v="0"/>
    <s v="theater/plays"/>
    <n v="-0.62047619047619051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x v="166"/>
    <x v="1"/>
    <s v="USD"/>
    <n v="1403845200"/>
    <n v="1404190800"/>
    <b v="0"/>
    <b v="0"/>
    <s v="music/rock"/>
    <n v="-0.8000704225352113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x v="167"/>
    <x v="1"/>
    <s v="USD"/>
    <n v="1523163600"/>
    <n v="1523509200"/>
    <b v="1"/>
    <b v="0"/>
    <s v="music/indie rock"/>
    <n v="-0.54363636363636358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x v="105"/>
    <x v="1"/>
    <s v="USD"/>
    <n v="1442206800"/>
    <n v="1443589200"/>
    <b v="0"/>
    <b v="0"/>
    <s v="music/metal"/>
    <n v="0.2276056338028169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x v="168"/>
    <x v="1"/>
    <s v="USD"/>
    <n v="1532840400"/>
    <n v="1533445200"/>
    <b v="0"/>
    <b v="0"/>
    <s v="music/electric music"/>
    <n v="2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x v="16"/>
    <x v="3"/>
    <s v="DKK"/>
    <n v="1472878800"/>
    <n v="1474520400"/>
    <b v="0"/>
    <b v="0"/>
    <s v="technology/wearables"/>
    <n v="-0.3685365853658536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x v="169"/>
    <x v="1"/>
    <s v="USD"/>
    <n v="1498194000"/>
    <n v="1499403600"/>
    <b v="0"/>
    <b v="0"/>
    <s v="film &amp; video/drama"/>
    <n v="1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x v="170"/>
    <x v="1"/>
    <s v="USD"/>
    <n v="1281070800"/>
    <n v="1283576400"/>
    <b v="0"/>
    <b v="0"/>
    <s v="music/electric music"/>
    <n v="-0.90441455696202533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x v="171"/>
    <x v="1"/>
    <s v="USD"/>
    <n v="1436245200"/>
    <n v="1436590800"/>
    <b v="0"/>
    <b v="0"/>
    <s v="music/rock"/>
    <n v="-0.4622222222222222"/>
    <n v="74.461538461538467"/>
    <x v="1"/>
    <s v="rock"/>
    <x v="195"/>
    <d v="2015-07-11T05:00:00"/>
  </r>
  <r>
    <n v="200"/>
    <s v="Becker, Rice and White"/>
    <s v="Reduced dedicated capability"/>
    <n v="100"/>
    <n v="2"/>
    <x v="0"/>
    <x v="49"/>
    <x v="0"/>
    <s v="CAD"/>
    <n v="1269493200"/>
    <n v="1270443600"/>
    <b v="0"/>
    <b v="0"/>
    <s v="theater/plays"/>
    <n v="-0.98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x v="144"/>
    <x v="1"/>
    <s v="USD"/>
    <n v="1406264400"/>
    <n v="1407819600"/>
    <b v="0"/>
    <b v="0"/>
    <s v="technology/web"/>
    <n v="5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x v="172"/>
    <x v="1"/>
    <s v="USD"/>
    <n v="1317531600"/>
    <n v="1317877200"/>
    <b v="0"/>
    <b v="0"/>
    <s v="food/food trucks"/>
    <n v="-0.21168674698795181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x v="173"/>
    <x v="2"/>
    <s v="AUD"/>
    <n v="1484632800"/>
    <n v="1484805600"/>
    <b v="0"/>
    <b v="0"/>
    <s v="theater/plays"/>
    <n v="0.34407922168172345"/>
    <n v="42.999777678968428"/>
    <x v="3"/>
    <s v="plays"/>
    <x v="198"/>
    <d v="2017-01-19T06:00:00"/>
  </r>
  <r>
    <n v="204"/>
    <s v="Daniel-Luna"/>
    <s v="Mandatory multimedia leverage"/>
    <n v="75000"/>
    <n v="2529"/>
    <x v="0"/>
    <x v="174"/>
    <x v="1"/>
    <s v="USD"/>
    <n v="1301806800"/>
    <n v="1302670800"/>
    <b v="0"/>
    <b v="0"/>
    <s v="music/jazz"/>
    <n v="-0.96628000000000003"/>
    <n v="63.225000000000001"/>
    <x v="1"/>
    <s v="jazz"/>
    <x v="199"/>
    <d v="2011-04-13T05:00:00"/>
  </r>
  <r>
    <n v="205"/>
    <s v="Weaver-Marquez"/>
    <s v="Focused analyzing circuit"/>
    <n v="1300"/>
    <n v="5614"/>
    <x v="1"/>
    <x v="175"/>
    <x v="1"/>
    <s v="USD"/>
    <n v="1539752400"/>
    <n v="1540789200"/>
    <b v="1"/>
    <b v="0"/>
    <s v="theater/plays"/>
    <n v="3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x v="176"/>
    <x v="1"/>
    <s v="USD"/>
    <n v="1267250400"/>
    <n v="1268028000"/>
    <b v="0"/>
    <b v="0"/>
    <s v="publishing/fiction"/>
    <n v="-0.61155555555555552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x v="177"/>
    <x v="1"/>
    <s v="USD"/>
    <n v="1535432400"/>
    <n v="1537160400"/>
    <b v="0"/>
    <b v="1"/>
    <s v="music/rock"/>
    <n v="3.2570000000000001"/>
    <n v="99"/>
    <x v="1"/>
    <s v="rock"/>
    <x v="202"/>
    <d v="2018-09-17T05:00:00"/>
  </r>
  <r>
    <n v="208"/>
    <s v="Jackson Inc"/>
    <s v="Mandatory multi-tasking encryption"/>
    <n v="196900"/>
    <n v="199110"/>
    <x v="1"/>
    <x v="178"/>
    <x v="1"/>
    <s v="USD"/>
    <n v="1510207200"/>
    <n v="1512280800"/>
    <b v="0"/>
    <b v="0"/>
    <s v="film &amp; video/documentary"/>
    <n v="1.122397155916709E-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x v="179"/>
    <x v="2"/>
    <s v="AUD"/>
    <n v="1462510800"/>
    <n v="1463115600"/>
    <b v="0"/>
    <b v="0"/>
    <s v="film &amp; video/documentary"/>
    <n v="-0.78811311053984578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x v="31"/>
    <x v="3"/>
    <s v="DKK"/>
    <n v="1488520800"/>
    <n v="1490850000"/>
    <b v="0"/>
    <b v="0"/>
    <s v="film &amp; video/science fiction"/>
    <n v="-0.32574468085106384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x v="180"/>
    <x v="1"/>
    <s v="USD"/>
    <n v="1377579600"/>
    <n v="1379653200"/>
    <b v="0"/>
    <b v="0"/>
    <s v="theater/plays"/>
    <n v="-5.0766283524904213E-2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x v="170"/>
    <x v="1"/>
    <s v="USD"/>
    <n v="1576389600"/>
    <n v="1580364000"/>
    <b v="0"/>
    <b v="0"/>
    <s v="theater/plays"/>
    <n v="0.51851851851851849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x v="181"/>
    <x v="1"/>
    <s v="USD"/>
    <n v="1289019600"/>
    <n v="1289714400"/>
    <b v="0"/>
    <b v="1"/>
    <s v="music/indie rock"/>
    <n v="0.95163822525597275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x v="34"/>
    <x v="1"/>
    <s v="USD"/>
    <n v="1282194000"/>
    <n v="1282712400"/>
    <b v="0"/>
    <b v="0"/>
    <s v="music/rock"/>
    <n v="9.2314285714285713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x v="182"/>
    <x v="1"/>
    <s v="USD"/>
    <n v="1550037600"/>
    <n v="1550210400"/>
    <b v="0"/>
    <b v="0"/>
    <s v="theater/plays"/>
    <n v="-0.9615816326530611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x v="183"/>
    <x v="1"/>
    <s v="USD"/>
    <n v="1321941600"/>
    <n v="1322114400"/>
    <b v="0"/>
    <b v="0"/>
    <s v="theater/plays"/>
    <n v="0.55070665571076416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x v="184"/>
    <x v="1"/>
    <s v="USD"/>
    <n v="1556427600"/>
    <n v="1557205200"/>
    <b v="0"/>
    <b v="0"/>
    <s v="film &amp; video/science fiction"/>
    <n v="-0.5524652241112828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x v="185"/>
    <x v="4"/>
    <s v="GBP"/>
    <n v="1320991200"/>
    <n v="1323928800"/>
    <b v="0"/>
    <b v="1"/>
    <s v="film &amp; video/shorts"/>
    <n v="1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x v="186"/>
    <x v="1"/>
    <s v="USD"/>
    <n v="1345093200"/>
    <n v="1346130000"/>
    <b v="0"/>
    <b v="0"/>
    <s v="film &amp; video/animation"/>
    <n v="2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x v="68"/>
    <x v="1"/>
    <s v="USD"/>
    <n v="1309496400"/>
    <n v="1311051600"/>
    <b v="1"/>
    <b v="0"/>
    <s v="theater/plays"/>
    <n v="-0.91556962025316457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x v="187"/>
    <x v="1"/>
    <s v="USD"/>
    <n v="1340254800"/>
    <n v="1340427600"/>
    <b v="1"/>
    <b v="0"/>
    <s v="food/food trucks"/>
    <n v="-1.3744855967078189E-2"/>
    <n v="54.993116108306566"/>
    <x v="0"/>
    <s v="food trucks"/>
    <x v="216"/>
    <d v="2012-06-23T05:00:00"/>
  </r>
  <r>
    <n v="222"/>
    <s v="Johnson LLC"/>
    <s v="Cross-group cohesive circuit"/>
    <n v="4800"/>
    <n v="6623"/>
    <x v="1"/>
    <x v="188"/>
    <x v="1"/>
    <s v="USD"/>
    <n v="1412226000"/>
    <n v="1412312400"/>
    <b v="0"/>
    <b v="0"/>
    <s v="photography/photography books"/>
    <n v="0.3797916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x v="189"/>
    <x v="1"/>
    <s v="USD"/>
    <n v="1458104400"/>
    <n v="1459314000"/>
    <b v="0"/>
    <b v="0"/>
    <s v="theater/plays"/>
    <n v="-6.1890034364261166E-2"/>
    <n v="87.966702470461868"/>
    <x v="3"/>
    <s v="plays"/>
    <x v="218"/>
    <d v="2016-03-30T05:00:00"/>
  </r>
  <r>
    <n v="224"/>
    <s v="Lester-Moore"/>
    <s v="Diverse analyzing definition"/>
    <n v="46300"/>
    <n v="186885"/>
    <x v="1"/>
    <x v="190"/>
    <x v="1"/>
    <s v="USD"/>
    <n v="1411534800"/>
    <n v="1415426400"/>
    <b v="0"/>
    <b v="0"/>
    <s v="film &amp; video/science fiction"/>
    <n v="3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x v="191"/>
    <x v="1"/>
    <s v="USD"/>
    <n v="1399093200"/>
    <n v="1399093200"/>
    <b v="1"/>
    <b v="0"/>
    <s v="music/rock"/>
    <n v="1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x v="192"/>
    <x v="1"/>
    <s v="USD"/>
    <n v="1270702800"/>
    <n v="1273899600"/>
    <b v="0"/>
    <b v="0"/>
    <s v="photography/photography books"/>
    <n v="2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x v="193"/>
    <x v="1"/>
    <s v="USD"/>
    <n v="1431666000"/>
    <n v="1432184400"/>
    <b v="0"/>
    <b v="0"/>
    <s v="games/mobile games"/>
    <n v="0.68720853858784892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x v="194"/>
    <x v="1"/>
    <s v="USD"/>
    <n v="1472619600"/>
    <n v="1474779600"/>
    <b v="0"/>
    <b v="0"/>
    <s v="film &amp; video/animation"/>
    <n v="0.19907179115300944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x v="195"/>
    <x v="1"/>
    <s v="USD"/>
    <n v="1496293200"/>
    <n v="1500440400"/>
    <b v="0"/>
    <b v="1"/>
    <s v="games/mobile games"/>
    <n v="0.93689252336448603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x v="196"/>
    <x v="1"/>
    <s v="USD"/>
    <n v="1575612000"/>
    <n v="1575612000"/>
    <b v="0"/>
    <b v="0"/>
    <s v="games/video games"/>
    <n v="3.2016666666666667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x v="109"/>
    <x v="1"/>
    <s v="USD"/>
    <n v="1369112400"/>
    <n v="1374123600"/>
    <b v="0"/>
    <b v="0"/>
    <s v="theater/plays"/>
    <n v="-0.23291666666666666"/>
    <n v="82.432835820895519"/>
    <x v="3"/>
    <s v="plays"/>
    <x v="225"/>
    <d v="2013-07-18T05:00:00"/>
  </r>
  <r>
    <n v="232"/>
    <s v="Davis-Rodriguez"/>
    <s v="Progressive secondary portal"/>
    <n v="3400"/>
    <n v="5823"/>
    <x v="1"/>
    <x v="45"/>
    <x v="1"/>
    <s v="USD"/>
    <n v="1469422800"/>
    <n v="1469509200"/>
    <b v="0"/>
    <b v="0"/>
    <s v="theater/plays"/>
    <n v="0.71264705882352941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x v="197"/>
    <x v="1"/>
    <s v="USD"/>
    <n v="1307854800"/>
    <n v="1309237200"/>
    <b v="0"/>
    <b v="0"/>
    <s v="film &amp; video/animation"/>
    <n v="0.57894736842105265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x v="46"/>
    <x v="6"/>
    <s v="EUR"/>
    <n v="1503378000"/>
    <n v="1503982800"/>
    <b v="0"/>
    <b v="1"/>
    <s v="games/video games"/>
    <n v="9.0800000000000006E-2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x v="45"/>
    <x v="1"/>
    <s v="USD"/>
    <n v="1486965600"/>
    <n v="1487397600"/>
    <b v="0"/>
    <b v="0"/>
    <s v="film &amp; video/animation"/>
    <n v="-0.58267441860465119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x v="176"/>
    <x v="2"/>
    <s v="AUD"/>
    <n v="1561438800"/>
    <n v="1562043600"/>
    <b v="0"/>
    <b v="1"/>
    <s v="music/rock"/>
    <n v="-0.89055696202531642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x v="198"/>
    <x v="1"/>
    <s v="USD"/>
    <n v="1398402000"/>
    <n v="1398574800"/>
    <b v="0"/>
    <b v="0"/>
    <s v="film &amp; video/animation"/>
    <n v="0.59376344086021504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x v="199"/>
    <x v="3"/>
    <s v="DKK"/>
    <n v="1513231200"/>
    <n v="1515391200"/>
    <b v="0"/>
    <b v="1"/>
    <s v="theater/plays"/>
    <n v="3.2241666666666666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x v="142"/>
    <x v="1"/>
    <s v="USD"/>
    <n v="1440824400"/>
    <n v="1441170000"/>
    <b v="0"/>
    <b v="0"/>
    <s v="technology/wearables"/>
    <n v="-2.2812499999999999E-2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x v="200"/>
    <x v="1"/>
    <s v="USD"/>
    <n v="1281070800"/>
    <n v="1281157200"/>
    <b v="0"/>
    <b v="0"/>
    <s v="theater/plays"/>
    <n v="3.1878911564625851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x v="74"/>
    <x v="2"/>
    <s v="AUD"/>
    <n v="1397365200"/>
    <n v="1398229200"/>
    <b v="0"/>
    <b v="1"/>
    <s v="publishing/nonfiction"/>
    <n v="1.9163204747774481E-2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x v="201"/>
    <x v="1"/>
    <s v="USD"/>
    <n v="1494392400"/>
    <n v="1495256400"/>
    <b v="0"/>
    <b v="1"/>
    <s v="music/rock"/>
    <n v="0.27726190476190476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x v="202"/>
    <x v="1"/>
    <s v="USD"/>
    <n v="1520143200"/>
    <n v="1520402400"/>
    <b v="0"/>
    <b v="0"/>
    <s v="theater/plays"/>
    <n v="3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x v="4"/>
    <x v="1"/>
    <s v="USD"/>
    <n v="1405314000"/>
    <n v="1409806800"/>
    <b v="0"/>
    <b v="0"/>
    <s v="theater/plays"/>
    <n v="4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x v="203"/>
    <x v="1"/>
    <s v="USD"/>
    <n v="1396846800"/>
    <n v="1396933200"/>
    <b v="0"/>
    <b v="0"/>
    <s v="theater/plays"/>
    <n v="4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x v="42"/>
    <x v="1"/>
    <s v="USD"/>
    <n v="1375678800"/>
    <n v="1376024400"/>
    <b v="0"/>
    <b v="0"/>
    <s v="technology/web"/>
    <n v="2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x v="204"/>
    <x v="1"/>
    <s v="USD"/>
    <n v="1482386400"/>
    <n v="1483682400"/>
    <b v="0"/>
    <b v="1"/>
    <s v="publishing/fiction"/>
    <n v="8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x v="205"/>
    <x v="2"/>
    <s v="AUD"/>
    <n v="1420005600"/>
    <n v="1420437600"/>
    <b v="0"/>
    <b v="0"/>
    <s v="games/mobile games"/>
    <n v="1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x v="206"/>
    <x v="1"/>
    <s v="USD"/>
    <n v="1420178400"/>
    <n v="1420783200"/>
    <b v="0"/>
    <b v="0"/>
    <s v="publishing/translations"/>
    <n v="1.73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x v="49"/>
    <x v="1"/>
    <s v="USD"/>
    <n v="1264399200"/>
    <n v="1267423200"/>
    <b v="0"/>
    <b v="0"/>
    <s v="music/rock"/>
    <n v="-0.97"/>
    <n v="3"/>
    <x v="1"/>
    <s v="rock"/>
    <x v="67"/>
    <d v="2010-03-01T06:00:00"/>
  </r>
  <r>
    <n v="251"/>
    <s v="Singleton Ltd"/>
    <s v="Enhanced user-facing function"/>
    <n v="7100"/>
    <n v="3840"/>
    <x v="0"/>
    <x v="196"/>
    <x v="1"/>
    <s v="USD"/>
    <n v="1355032800"/>
    <n v="1355205600"/>
    <b v="0"/>
    <b v="0"/>
    <s v="theater/plays"/>
    <n v="-0.45915492957746479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x v="207"/>
    <x v="1"/>
    <s v="USD"/>
    <n v="1382677200"/>
    <n v="1383109200"/>
    <b v="0"/>
    <b v="0"/>
    <s v="theater/plays"/>
    <n v="5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x v="208"/>
    <x v="0"/>
    <s v="CAD"/>
    <n v="1302238800"/>
    <n v="1303275600"/>
    <b v="0"/>
    <b v="0"/>
    <s v="film &amp; video/drama"/>
    <n v="-0.10978600823045268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x v="39"/>
    <x v="1"/>
    <s v="USD"/>
    <n v="1487656800"/>
    <n v="1487829600"/>
    <b v="0"/>
    <b v="0"/>
    <s v="publishing/nonfiction"/>
    <n v="0.84891304347826091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x v="209"/>
    <x v="1"/>
    <s v="USD"/>
    <n v="1297836000"/>
    <n v="1298268000"/>
    <b v="0"/>
    <b v="1"/>
    <s v="music/rock"/>
    <n v="0.20167701863354037"/>
    <n v="57.003535651149086"/>
    <x v="1"/>
    <s v="rock"/>
    <x v="247"/>
    <d v="2011-02-21T06:00:00"/>
  </r>
  <r>
    <n v="256"/>
    <s v="Smith-Reid"/>
    <s v="Optimized actuating toolset"/>
    <n v="4100"/>
    <n v="959"/>
    <x v="0"/>
    <x v="27"/>
    <x v="4"/>
    <s v="GBP"/>
    <n v="1453615200"/>
    <n v="1456812000"/>
    <b v="0"/>
    <b v="0"/>
    <s v="music/rock"/>
    <n v="-0.76609756097560977"/>
    <n v="63.93333333333333"/>
    <x v="1"/>
    <s v="rock"/>
    <x v="248"/>
    <d v="2016-03-01T06:00:00"/>
  </r>
  <r>
    <n v="257"/>
    <s v="Williams Inc"/>
    <s v="Decentralized exuding strategy"/>
    <n v="5700"/>
    <n v="8322"/>
    <x v="1"/>
    <x v="45"/>
    <x v="1"/>
    <s v="USD"/>
    <n v="1362463200"/>
    <n v="1363669200"/>
    <b v="0"/>
    <b v="0"/>
    <s v="theater/plays"/>
    <n v="0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x v="129"/>
    <x v="1"/>
    <s v="USD"/>
    <n v="1481176800"/>
    <n v="1482904800"/>
    <b v="0"/>
    <b v="1"/>
    <s v="theater/plays"/>
    <n v="1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x v="188"/>
    <x v="1"/>
    <s v="USD"/>
    <n v="1354946400"/>
    <n v="1356588000"/>
    <b v="1"/>
    <b v="0"/>
    <s v="photography/photography books"/>
    <n v="4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x v="210"/>
    <x v="1"/>
    <s v="USD"/>
    <n v="1348808400"/>
    <n v="1349845200"/>
    <b v="0"/>
    <b v="0"/>
    <s v="music/rock"/>
    <n v="0.57698412698412693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x v="211"/>
    <x v="1"/>
    <s v="USD"/>
    <n v="1282712400"/>
    <n v="1283058000"/>
    <b v="0"/>
    <b v="1"/>
    <s v="music/rock"/>
    <n v="-0.6879833926453143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x v="37"/>
    <x v="1"/>
    <s v="USD"/>
    <n v="1301979600"/>
    <n v="1304226000"/>
    <b v="0"/>
    <b v="1"/>
    <s v="music/indie rock"/>
    <n v="2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x v="134"/>
    <x v="1"/>
    <s v="USD"/>
    <n v="1263016800"/>
    <n v="1263016800"/>
    <b v="0"/>
    <b v="0"/>
    <s v="photography/photography books"/>
    <n v="2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x v="212"/>
    <x v="1"/>
    <s v="USD"/>
    <n v="1360648800"/>
    <n v="1362031200"/>
    <b v="0"/>
    <b v="0"/>
    <s v="theater/plays"/>
    <n v="2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x v="99"/>
    <x v="1"/>
    <s v="USD"/>
    <n v="1451800800"/>
    <n v="1455602400"/>
    <b v="0"/>
    <b v="0"/>
    <s v="theater/plays"/>
    <n v="0.23081632653061224"/>
    <n v="70.127906976744185"/>
    <x v="3"/>
    <s v="plays"/>
    <x v="256"/>
    <d v="2016-02-16T06:00:00"/>
  </r>
  <r>
    <n v="266"/>
    <s v="Cole LLC"/>
    <s v="Proactive responsive emulation"/>
    <n v="111900"/>
    <n v="85902"/>
    <x v="0"/>
    <x v="213"/>
    <x v="6"/>
    <s v="EUR"/>
    <n v="1415340000"/>
    <n v="1418191200"/>
    <b v="0"/>
    <b v="1"/>
    <s v="music/jazz"/>
    <n v="-0.23233243967828418"/>
    <n v="26.996228786926462"/>
    <x v="1"/>
    <s v="jazz"/>
    <x v="257"/>
    <d v="2014-12-10T06:00:00"/>
  </r>
  <r>
    <n v="267"/>
    <s v="Acosta PLC"/>
    <s v="Extended eco-centric function"/>
    <n v="61600"/>
    <n v="143910"/>
    <x v="1"/>
    <x v="214"/>
    <x v="2"/>
    <s v="AUD"/>
    <n v="1351054800"/>
    <n v="1352440800"/>
    <b v="0"/>
    <b v="0"/>
    <s v="theater/plays"/>
    <n v="1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x v="44"/>
    <x v="1"/>
    <s v="USD"/>
    <n v="1349326800"/>
    <n v="1353304800"/>
    <b v="0"/>
    <b v="0"/>
    <s v="film &amp; video/documentary"/>
    <n v="0.80533333333333335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x v="215"/>
    <x v="1"/>
    <s v="USD"/>
    <n v="1548914400"/>
    <n v="1550728800"/>
    <b v="0"/>
    <b v="0"/>
    <s v="film &amp; video/television"/>
    <n v="1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x v="216"/>
    <x v="1"/>
    <s v="USD"/>
    <n v="1291269600"/>
    <n v="1291442400"/>
    <b v="0"/>
    <b v="0"/>
    <s v="games/video games"/>
    <n v="-0.72823461759631969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x v="217"/>
    <x v="1"/>
    <s v="USD"/>
    <n v="1449468000"/>
    <n v="1452146400"/>
    <b v="0"/>
    <b v="0"/>
    <s v="photography/photography books"/>
    <n v="-0.9872934287573194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x v="218"/>
    <x v="1"/>
    <s v="USD"/>
    <n v="1562734800"/>
    <n v="1564894800"/>
    <b v="0"/>
    <b v="1"/>
    <s v="theater/plays"/>
    <n v="2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x v="219"/>
    <x v="0"/>
    <s v="CAD"/>
    <n v="1505624400"/>
    <n v="1505883600"/>
    <b v="0"/>
    <b v="0"/>
    <s v="theater/plays"/>
    <n v="0.37230769230769228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x v="27"/>
    <x v="1"/>
    <s v="USD"/>
    <n v="1509948000"/>
    <n v="1510380000"/>
    <b v="0"/>
    <b v="0"/>
    <s v="theater/plays"/>
    <n v="-0.67791666666666661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x v="220"/>
    <x v="1"/>
    <s v="USD"/>
    <n v="1554526800"/>
    <n v="1555218000"/>
    <b v="0"/>
    <b v="0"/>
    <s v="publishing/translations"/>
    <n v="1.415128205128205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x v="221"/>
    <x v="1"/>
    <s v="USD"/>
    <n v="1334811600"/>
    <n v="1335243600"/>
    <b v="0"/>
    <b v="1"/>
    <s v="games/video games"/>
    <n v="-3.2000000000000001E-2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x v="100"/>
    <x v="1"/>
    <s v="USD"/>
    <n v="1279515600"/>
    <n v="1279688400"/>
    <b v="0"/>
    <b v="0"/>
    <s v="theater/plays"/>
    <n v="9.664285714285714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x v="222"/>
    <x v="1"/>
    <s v="USD"/>
    <n v="1353909600"/>
    <n v="1356069600"/>
    <b v="0"/>
    <b v="0"/>
    <s v="technology/web"/>
    <n v="2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x v="223"/>
    <x v="1"/>
    <s v="USD"/>
    <n v="1535950800"/>
    <n v="1536210000"/>
    <b v="0"/>
    <b v="0"/>
    <s v="theater/plays"/>
    <n v="0.70699999999999996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x v="224"/>
    <x v="1"/>
    <s v="USD"/>
    <n v="1511244000"/>
    <n v="1511762400"/>
    <b v="0"/>
    <b v="0"/>
    <s v="film &amp; video/animation"/>
    <n v="4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x v="225"/>
    <x v="1"/>
    <s v="USD"/>
    <n v="1331445600"/>
    <n v="1333256400"/>
    <b v="0"/>
    <b v="1"/>
    <s v="theater/plays"/>
    <n v="-8.4790273556231005E-2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x v="221"/>
    <x v="1"/>
    <s v="USD"/>
    <n v="1480226400"/>
    <n v="1480744800"/>
    <b v="0"/>
    <b v="1"/>
    <s v="film &amp; video/television"/>
    <n v="8.0476190476190479E-2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x v="226"/>
    <x v="3"/>
    <s v="DKK"/>
    <n v="1464584400"/>
    <n v="1465016400"/>
    <b v="0"/>
    <b v="0"/>
    <s v="music/rock"/>
    <n v="-0.81271604938271602"/>
    <n v="52.310344827586206"/>
    <x v="1"/>
    <s v="rock"/>
    <x v="273"/>
    <d v="2016-06-04T05:00:00"/>
  </r>
  <r>
    <n v="284"/>
    <s v="Tran LLC"/>
    <s v="Ameliorated fresh-thinking protocol"/>
    <n v="9800"/>
    <n v="8153"/>
    <x v="0"/>
    <x v="227"/>
    <x v="1"/>
    <s v="USD"/>
    <n v="1335848400"/>
    <n v="1336280400"/>
    <b v="0"/>
    <b v="0"/>
    <s v="technology/web"/>
    <n v="-0.16806122448979591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x v="228"/>
    <x v="1"/>
    <s v="USD"/>
    <n v="1473483600"/>
    <n v="1476766800"/>
    <b v="0"/>
    <b v="0"/>
    <s v="theater/plays"/>
    <n v="6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x v="229"/>
    <x v="1"/>
    <s v="USD"/>
    <n v="1479880800"/>
    <n v="1480485600"/>
    <b v="0"/>
    <b v="0"/>
    <s v="theater/plays"/>
    <n v="-0.8255396966993755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x v="230"/>
    <x v="1"/>
    <s v="USD"/>
    <n v="1430197200"/>
    <n v="1430197200"/>
    <b v="0"/>
    <b v="0"/>
    <s v="music/electric music"/>
    <n v="1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x v="231"/>
    <x v="3"/>
    <s v="DKK"/>
    <n v="1331701200"/>
    <n v="1331787600"/>
    <b v="0"/>
    <b v="1"/>
    <s v="music/metal"/>
    <n v="-2.2142857142857141E-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x v="232"/>
    <x v="0"/>
    <s v="CAD"/>
    <n v="1438578000"/>
    <n v="1438837200"/>
    <b v="0"/>
    <b v="0"/>
    <s v="theater/plays"/>
    <n v="15.842499999999999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x v="233"/>
    <x v="1"/>
    <s v="USD"/>
    <n v="1368162000"/>
    <n v="1370926800"/>
    <b v="0"/>
    <b v="1"/>
    <s v="film &amp; video/documentary"/>
    <n v="-0.45597864768683272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x v="37"/>
    <x v="1"/>
    <s v="USD"/>
    <n v="1318654800"/>
    <n v="1319000400"/>
    <b v="1"/>
    <b v="0"/>
    <s v="technology/web"/>
    <n v="3.5661111111111112"/>
    <n v="76.813084112149539"/>
    <x v="2"/>
    <s v="web"/>
    <x v="281"/>
    <d v="2011-10-19T05:00:00"/>
  </r>
  <r>
    <n v="292"/>
    <s v="Ho-Harris"/>
    <s v="Versatile cohesive encoding"/>
    <n v="7300"/>
    <n v="717"/>
    <x v="0"/>
    <x v="234"/>
    <x v="1"/>
    <s v="USD"/>
    <n v="1331874000"/>
    <n v="1333429200"/>
    <b v="0"/>
    <b v="0"/>
    <s v="food/food trucks"/>
    <n v="-0.90178082191780817"/>
    <n v="71.7"/>
    <x v="0"/>
    <s v="food trucks"/>
    <x v="282"/>
    <d v="2012-04-03T05:00:00"/>
  </r>
  <r>
    <n v="293"/>
    <s v="Ross Group"/>
    <s v="Organized executive solution"/>
    <n v="6500"/>
    <n v="1065"/>
    <x v="3"/>
    <x v="235"/>
    <x v="6"/>
    <s v="EUR"/>
    <n v="1286254800"/>
    <n v="1287032400"/>
    <b v="0"/>
    <b v="0"/>
    <s v="theater/plays"/>
    <n v="-0.83615384615384614"/>
    <n v="33.28125"/>
    <x v="3"/>
    <s v="plays"/>
    <x v="283"/>
    <d v="2010-10-14T05:00:00"/>
  </r>
  <r>
    <n v="294"/>
    <s v="Turner-Davis"/>
    <s v="Automated local emulation"/>
    <n v="600"/>
    <n v="8038"/>
    <x v="1"/>
    <x v="236"/>
    <x v="1"/>
    <s v="USD"/>
    <n v="1540530000"/>
    <n v="1541570400"/>
    <b v="0"/>
    <b v="0"/>
    <s v="theater/plays"/>
    <n v="12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x v="237"/>
    <x v="5"/>
    <s v="CHF"/>
    <n v="1381813200"/>
    <n v="1383976800"/>
    <b v="0"/>
    <b v="0"/>
    <s v="theater/plays"/>
    <n v="-0.64349922239502333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x v="63"/>
    <x v="2"/>
    <s v="AUD"/>
    <n v="1548655200"/>
    <n v="1550556000"/>
    <b v="0"/>
    <b v="0"/>
    <s v="theater/plays"/>
    <n v="-0.45049180327868854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x v="238"/>
    <x v="2"/>
    <s v="AUD"/>
    <n v="1389679200"/>
    <n v="1390456800"/>
    <b v="0"/>
    <b v="1"/>
    <s v="theater/plays"/>
    <n v="-5.7638888888888892E-2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x v="239"/>
    <x v="1"/>
    <s v="USD"/>
    <n v="1456466400"/>
    <n v="1458018000"/>
    <b v="0"/>
    <b v="1"/>
    <s v="music/rock"/>
    <n v="0.43914285714285717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x v="240"/>
    <x v="1"/>
    <s v="USD"/>
    <n v="1456984800"/>
    <n v="1461819600"/>
    <b v="0"/>
    <b v="0"/>
    <s v="food/food trucks"/>
    <n v="-0.48578947368421055"/>
    <n v="39.877551020408163"/>
    <x v="0"/>
    <s v="food trucks"/>
    <x v="289"/>
    <d v="2016-04-28T05:00:00"/>
  </r>
  <r>
    <n v="300"/>
    <s v="Cooke PLC"/>
    <s v="Focused executive core"/>
    <n v="100"/>
    <n v="5"/>
    <x v="0"/>
    <x v="49"/>
    <x v="3"/>
    <s v="DKK"/>
    <n v="1504069200"/>
    <n v="1504155600"/>
    <b v="0"/>
    <b v="1"/>
    <s v="publishing/nonfiction"/>
    <n v="-0.95"/>
    <n v="5"/>
    <x v="5"/>
    <s v="nonfiction"/>
    <x v="290"/>
    <d v="2017-08-31T05:00:00"/>
  </r>
  <r>
    <n v="301"/>
    <s v="Wong-Walker"/>
    <s v="Multi-channeled disintermediate policy"/>
    <n v="900"/>
    <n v="12102"/>
    <x v="1"/>
    <x v="241"/>
    <x v="1"/>
    <s v="USD"/>
    <n v="1424930400"/>
    <n v="1426395600"/>
    <b v="0"/>
    <b v="0"/>
    <s v="film &amp; video/documentary"/>
    <n v="12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x v="242"/>
    <x v="1"/>
    <s v="USD"/>
    <n v="1535864400"/>
    <n v="1537074000"/>
    <b v="0"/>
    <b v="0"/>
    <s v="theater/plays"/>
    <n v="-0.68155059132720108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x v="235"/>
    <x v="1"/>
    <s v="USD"/>
    <n v="1452146400"/>
    <n v="1452578400"/>
    <b v="0"/>
    <b v="0"/>
    <s v="music/indie rock"/>
    <n v="-0.17382352941176471"/>
    <n v="87.78125"/>
    <x v="1"/>
    <s v="indie rock"/>
    <x v="293"/>
    <d v="2016-01-12T06:00:00"/>
  </r>
  <r>
    <n v="304"/>
    <s v="Peterson PLC"/>
    <s v="User-friendly discrete benchmark"/>
    <n v="2100"/>
    <n v="11469"/>
    <x v="1"/>
    <x v="23"/>
    <x v="1"/>
    <s v="USD"/>
    <n v="1470546000"/>
    <n v="1474088400"/>
    <b v="0"/>
    <b v="0"/>
    <s v="film &amp; video/documentary"/>
    <n v="4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x v="72"/>
    <x v="1"/>
    <s v="USD"/>
    <n v="1458363600"/>
    <n v="1461906000"/>
    <b v="0"/>
    <b v="0"/>
    <s v="theater/plays"/>
    <n v="1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x v="243"/>
    <x v="1"/>
    <s v="USD"/>
    <n v="1500008400"/>
    <n v="1500267600"/>
    <b v="0"/>
    <b v="1"/>
    <s v="theater/plays"/>
    <n v="-0.92092307692307696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x v="244"/>
    <x v="3"/>
    <s v="DKK"/>
    <n v="1338958800"/>
    <n v="1340686800"/>
    <b v="0"/>
    <b v="1"/>
    <s v="publishing/fiction"/>
    <n v="0.32136778115501519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x v="245"/>
    <x v="1"/>
    <s v="USD"/>
    <n v="1303102800"/>
    <n v="1303189200"/>
    <b v="0"/>
    <b v="0"/>
    <s v="theater/plays"/>
    <n v="-0.25922165820642978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x v="51"/>
    <x v="1"/>
    <s v="USD"/>
    <n v="1316581200"/>
    <n v="1318309200"/>
    <b v="0"/>
    <b v="1"/>
    <s v="music/indie rock"/>
    <n v="-0.24707317073170731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x v="36"/>
    <x v="1"/>
    <s v="USD"/>
    <n v="1270789200"/>
    <n v="1272171600"/>
    <b v="0"/>
    <b v="0"/>
    <s v="games/video games"/>
    <n v="-0.79666666666666663"/>
    <n v="99.125"/>
    <x v="6"/>
    <s v="video games"/>
    <x v="300"/>
    <d v="2010-04-25T05:00:00"/>
  </r>
  <r>
    <n v="311"/>
    <s v="Flores PLC"/>
    <s v="Focused real-time help-desk"/>
    <n v="6300"/>
    <n v="12812"/>
    <x v="1"/>
    <x v="246"/>
    <x v="1"/>
    <s v="USD"/>
    <n v="1297836000"/>
    <n v="1298872800"/>
    <b v="0"/>
    <b v="0"/>
    <s v="theater/plays"/>
    <n v="1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x v="247"/>
    <x v="1"/>
    <s v="USD"/>
    <n v="1382677200"/>
    <n v="1383282000"/>
    <b v="0"/>
    <b v="0"/>
    <s v="theater/plays"/>
    <n v="2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x v="248"/>
    <x v="1"/>
    <s v="USD"/>
    <n v="1330322400"/>
    <n v="1330495200"/>
    <b v="0"/>
    <b v="0"/>
    <s v="music/rock"/>
    <n v="2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x v="221"/>
    <x v="1"/>
    <s v="USD"/>
    <n v="1552366800"/>
    <n v="1552798800"/>
    <b v="0"/>
    <b v="1"/>
    <s v="film &amp; video/documentary"/>
    <n v="1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x v="249"/>
    <x v="1"/>
    <s v="USD"/>
    <n v="1400907600"/>
    <n v="1403413200"/>
    <b v="0"/>
    <b v="0"/>
    <s v="theater/plays"/>
    <n v="-0.66105263157894734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x v="250"/>
    <x v="6"/>
    <s v="EUR"/>
    <n v="1574143200"/>
    <n v="1574229600"/>
    <b v="0"/>
    <b v="1"/>
    <s v="food/food trucks"/>
    <n v="-0.3332291666666666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x v="141"/>
    <x v="1"/>
    <s v="USD"/>
    <n v="1494738000"/>
    <n v="1495861200"/>
    <b v="0"/>
    <b v="0"/>
    <s v="theater/plays"/>
    <n v="-0.80772727272727274"/>
    <n v="42.3"/>
    <x v="3"/>
    <s v="plays"/>
    <x v="304"/>
    <d v="2017-05-27T05:00:00"/>
  </r>
  <r>
    <n v="318"/>
    <s v="Young, Hart and Ryan"/>
    <s v="Decentralized demand-driven open system"/>
    <n v="5700"/>
    <n v="903"/>
    <x v="0"/>
    <x v="68"/>
    <x v="1"/>
    <s v="USD"/>
    <n v="1392357600"/>
    <n v="1392530400"/>
    <b v="0"/>
    <b v="0"/>
    <s v="music/rock"/>
    <n v="-0.84157894736842109"/>
    <n v="53.117647058823529"/>
    <x v="1"/>
    <s v="rock"/>
    <x v="305"/>
    <d v="2014-02-16T06:00:00"/>
  </r>
  <r>
    <n v="319"/>
    <s v="Mills Group"/>
    <s v="Advanced empowering matrix"/>
    <n v="8400"/>
    <n v="3251"/>
    <x v="3"/>
    <x v="251"/>
    <x v="1"/>
    <s v="USD"/>
    <n v="1281589200"/>
    <n v="1283662800"/>
    <b v="0"/>
    <b v="0"/>
    <s v="technology/web"/>
    <n v="-0.61297619047619045"/>
    <n v="50.796875"/>
    <x v="2"/>
    <s v="web"/>
    <x v="306"/>
    <d v="2010-09-05T05:00:00"/>
  </r>
  <r>
    <n v="320"/>
    <s v="Sandoval-Powell"/>
    <s v="Phased holistic implementation"/>
    <n v="84400"/>
    <n v="8092"/>
    <x v="0"/>
    <x v="175"/>
    <x v="1"/>
    <s v="USD"/>
    <n v="1305003600"/>
    <n v="1305781200"/>
    <b v="0"/>
    <b v="0"/>
    <s v="publishing/fiction"/>
    <n v="-0.90412322274881518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x v="194"/>
    <x v="1"/>
    <s v="USD"/>
    <n v="1301634000"/>
    <n v="1302325200"/>
    <b v="0"/>
    <b v="0"/>
    <s v="film &amp; video/shorts"/>
    <n v="-5.8556338028169015E-2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x v="252"/>
    <x v="1"/>
    <s v="USD"/>
    <n v="1290664800"/>
    <n v="1291788000"/>
    <b v="0"/>
    <b v="0"/>
    <s v="theater/plays"/>
    <n v="0.66562340966921119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x v="150"/>
    <x v="4"/>
    <s v="GBP"/>
    <n v="1395896400"/>
    <n v="1396069200"/>
    <b v="0"/>
    <b v="0"/>
    <s v="film &amp; video/documentary"/>
    <n v="-0.75865168539325845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x v="253"/>
    <x v="1"/>
    <s v="USD"/>
    <n v="1434862800"/>
    <n v="1435899600"/>
    <b v="0"/>
    <b v="1"/>
    <s v="theater/plays"/>
    <n v="0.64056338028169013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x v="107"/>
    <x v="1"/>
    <s v="USD"/>
    <n v="1529125200"/>
    <n v="1531112400"/>
    <b v="0"/>
    <b v="1"/>
    <s v="theater/plays"/>
    <n v="-9.276923076923077E-2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x v="58"/>
    <x v="1"/>
    <s v="USD"/>
    <n v="1451109600"/>
    <n v="1451628000"/>
    <b v="0"/>
    <b v="0"/>
    <s v="film &amp; video/animation"/>
    <n v="-0.53805555555555551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x v="254"/>
    <x v="1"/>
    <s v="USD"/>
    <n v="1566968400"/>
    <n v="1567314000"/>
    <b v="0"/>
    <b v="1"/>
    <s v="theater/plays"/>
    <n v="-0.61461538461538456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x v="255"/>
    <x v="1"/>
    <s v="USD"/>
    <n v="1543557600"/>
    <n v="1544508000"/>
    <b v="0"/>
    <b v="0"/>
    <s v="music/rock"/>
    <n v="0.33562310030395137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x v="57"/>
    <x v="1"/>
    <s v="USD"/>
    <n v="1481522400"/>
    <n v="1482472800"/>
    <b v="0"/>
    <b v="0"/>
    <s v="games/video games"/>
    <n v="-0.77103411513859277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x v="256"/>
    <x v="4"/>
    <s v="GBP"/>
    <n v="1512712800"/>
    <n v="1512799200"/>
    <b v="0"/>
    <b v="0"/>
    <s v="film &amp; video/documentary"/>
    <n v="0.84955489614243318"/>
    <n v="45.003610108303249"/>
    <x v="4"/>
    <s v="documentary"/>
    <x v="316"/>
    <d v="2017-12-09T06:00:00"/>
  </r>
  <r>
    <n v="331"/>
    <s v="Rose-Silva"/>
    <s v="Intuitive static portal"/>
    <n v="3300"/>
    <n v="14643"/>
    <x v="1"/>
    <x v="257"/>
    <x v="1"/>
    <s v="USD"/>
    <n v="1324274400"/>
    <n v="1324360800"/>
    <b v="0"/>
    <b v="0"/>
    <s v="food/food trucks"/>
    <n v="3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x v="258"/>
    <x v="1"/>
    <s v="USD"/>
    <n v="1364446800"/>
    <n v="1364533200"/>
    <b v="0"/>
    <b v="0"/>
    <s v="technology/wearables"/>
    <n v="0.99980676328502416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x v="259"/>
    <x v="1"/>
    <s v="USD"/>
    <n v="1542693600"/>
    <n v="1545112800"/>
    <b v="0"/>
    <b v="0"/>
    <s v="theater/plays"/>
    <n v="0.23958333333333334"/>
    <n v="47.035573122529641"/>
    <x v="3"/>
    <s v="plays"/>
    <x v="319"/>
    <d v="2018-12-18T06:00:00"/>
  </r>
  <r>
    <n v="334"/>
    <s v="Mcgee Group"/>
    <s v="Assimilated discrete algorithm"/>
    <n v="66200"/>
    <n v="123538"/>
    <x v="1"/>
    <x v="260"/>
    <x v="1"/>
    <s v="USD"/>
    <n v="1515564000"/>
    <n v="1516168800"/>
    <b v="0"/>
    <b v="0"/>
    <s v="music/rock"/>
    <n v="0.86613293051359519"/>
    <n v="110.99550763701707"/>
    <x v="1"/>
    <s v="rock"/>
    <x v="32"/>
    <d v="2018-01-17T06:00:00"/>
  </r>
  <r>
    <n v="335"/>
    <s v="Jordan-Acosta"/>
    <s v="Operative uniform hub"/>
    <n v="173800"/>
    <n v="198628"/>
    <x v="1"/>
    <x v="261"/>
    <x v="1"/>
    <s v="USD"/>
    <n v="1573797600"/>
    <n v="1574920800"/>
    <b v="0"/>
    <b v="0"/>
    <s v="music/rock"/>
    <n v="0.14285385500575373"/>
    <n v="87.003066141042481"/>
    <x v="1"/>
    <s v="rock"/>
    <x v="320"/>
    <d v="2019-11-28T06:00:00"/>
  </r>
  <r>
    <n v="336"/>
    <s v="Nunez Inc"/>
    <s v="Customizable intangible capability"/>
    <n v="70700"/>
    <n v="68602"/>
    <x v="0"/>
    <x v="262"/>
    <x v="1"/>
    <s v="USD"/>
    <n v="1292392800"/>
    <n v="1292479200"/>
    <b v="0"/>
    <b v="1"/>
    <s v="music/rock"/>
    <n v="-2.9674681753889674E-2"/>
    <n v="63.994402985074629"/>
    <x v="1"/>
    <s v="rock"/>
    <x v="321"/>
    <d v="2010-12-16T06:00:00"/>
  </r>
  <r>
    <n v="337"/>
    <s v="Hayden Ltd"/>
    <s v="Innovative didactic analyzer"/>
    <n v="94500"/>
    <n v="116064"/>
    <x v="1"/>
    <x v="263"/>
    <x v="1"/>
    <s v="USD"/>
    <n v="1573452000"/>
    <n v="1573538400"/>
    <b v="0"/>
    <b v="0"/>
    <s v="theater/plays"/>
    <n v="0.22819047619047619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x v="264"/>
    <x v="1"/>
    <s v="USD"/>
    <n v="1317790800"/>
    <n v="1320382800"/>
    <b v="0"/>
    <b v="0"/>
    <s v="theater/plays"/>
    <n v="0.79143266475644702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x v="265"/>
    <x v="0"/>
    <s v="CAD"/>
    <n v="1501650000"/>
    <n v="1502859600"/>
    <b v="0"/>
    <b v="0"/>
    <s v="theater/plays"/>
    <n v="-0.2004842259721203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x v="224"/>
    <x v="1"/>
    <s v="USD"/>
    <n v="1323669600"/>
    <n v="1323756000"/>
    <b v="0"/>
    <b v="0"/>
    <s v="photography/photography books"/>
    <n v="-5.757412398921833E-2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x v="266"/>
    <x v="1"/>
    <s v="USD"/>
    <n v="1440738000"/>
    <n v="1441342800"/>
    <b v="0"/>
    <b v="0"/>
    <s v="music/indie rock"/>
    <n v="-0.15330708661417322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x v="267"/>
    <x v="1"/>
    <s v="USD"/>
    <n v="1374296400"/>
    <n v="1375333200"/>
    <b v="0"/>
    <b v="0"/>
    <s v="theater/plays"/>
    <n v="-0.33478079331941546"/>
    <n v="97.146341463414629"/>
    <x v="3"/>
    <s v="plays"/>
    <x v="327"/>
    <d v="2013-08-01T05:00:00"/>
  </r>
  <r>
    <n v="343"/>
    <s v="Spencer-Weber"/>
    <s v="Optional zero-defect task-force"/>
    <n v="9000"/>
    <n v="4853"/>
    <x v="0"/>
    <x v="98"/>
    <x v="1"/>
    <s v="USD"/>
    <n v="1384840800"/>
    <n v="1389420000"/>
    <b v="0"/>
    <b v="0"/>
    <s v="theater/plays"/>
    <n v="-0.46077777777777779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x v="268"/>
    <x v="1"/>
    <s v="USD"/>
    <n v="1516600800"/>
    <n v="1520056800"/>
    <b v="0"/>
    <b v="0"/>
    <s v="games/video games"/>
    <n v="-0.58016700404858301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x v="269"/>
    <x v="4"/>
    <s v="GBP"/>
    <n v="1436418000"/>
    <n v="1436504400"/>
    <b v="0"/>
    <b v="0"/>
    <s v="film &amp; video/drama"/>
    <n v="-0.85305203045685274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x v="270"/>
    <x v="1"/>
    <s v="USD"/>
    <n v="1503550800"/>
    <n v="1508302800"/>
    <b v="0"/>
    <b v="1"/>
    <s v="music/indie rock"/>
    <n v="-0.65525"/>
    <n v="110.32"/>
    <x v="1"/>
    <s v="indie rock"/>
    <x v="331"/>
    <d v="2017-10-18T05:00:00"/>
  </r>
  <r>
    <n v="347"/>
    <s v="Petersen and Sons"/>
    <s v="Open-source full-range portal"/>
    <n v="900"/>
    <n v="12607"/>
    <x v="1"/>
    <x v="271"/>
    <x v="1"/>
    <s v="USD"/>
    <n v="1423634400"/>
    <n v="1425708000"/>
    <b v="0"/>
    <b v="0"/>
    <s v="technology/web"/>
    <n v="13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x v="272"/>
    <x v="1"/>
    <s v="USD"/>
    <n v="1487224800"/>
    <n v="1488348000"/>
    <b v="0"/>
    <b v="0"/>
    <s v="food/food trucks"/>
    <n v="-0.28229648241206029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x v="273"/>
    <x v="1"/>
    <s v="USD"/>
    <n v="1500008400"/>
    <n v="1502600400"/>
    <b v="0"/>
    <b v="0"/>
    <s v="theater/plays"/>
    <n v="-0.46925884955752212"/>
    <n v="103.96316359696641"/>
    <x v="3"/>
    <s v="plays"/>
    <x v="296"/>
    <d v="2017-08-13T05:00:00"/>
  </r>
  <r>
    <n v="350"/>
    <s v="Shannon Ltd"/>
    <s v="Pre-emptive neutral capacity"/>
    <n v="100"/>
    <n v="5"/>
    <x v="0"/>
    <x v="49"/>
    <x v="1"/>
    <s v="USD"/>
    <n v="1432098000"/>
    <n v="1433653200"/>
    <b v="0"/>
    <b v="1"/>
    <s v="music/jazz"/>
    <n v="-0.95"/>
    <n v="5"/>
    <x v="1"/>
    <s v="jazz"/>
    <x v="334"/>
    <d v="2015-06-07T05:00:00"/>
  </r>
  <r>
    <n v="351"/>
    <s v="Young LLC"/>
    <s v="Universal maximized methodology"/>
    <n v="74100"/>
    <n v="94631"/>
    <x v="1"/>
    <x v="274"/>
    <x v="1"/>
    <s v="USD"/>
    <n v="1440392400"/>
    <n v="1441602000"/>
    <b v="0"/>
    <b v="0"/>
    <s v="music/rock"/>
    <n v="0.27707152496626181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x v="254"/>
    <x v="0"/>
    <s v="CAD"/>
    <n v="1446876000"/>
    <n v="1447567200"/>
    <b v="0"/>
    <b v="0"/>
    <s v="theater/plays"/>
    <n v="-0.6510714285714285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x v="275"/>
    <x v="1"/>
    <s v="USD"/>
    <n v="1562302800"/>
    <n v="1562389200"/>
    <b v="0"/>
    <b v="0"/>
    <s v="theater/plays"/>
    <n v="3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x v="175"/>
    <x v="3"/>
    <s v="DKK"/>
    <n v="1378184400"/>
    <n v="1378789200"/>
    <b v="0"/>
    <b v="0"/>
    <s v="film &amp; video/documentary"/>
    <n v="0.23737704918032787"/>
    <n v="94.35"/>
    <x v="4"/>
    <s v="documentary"/>
    <x v="338"/>
    <d v="2013-09-10T05:00:00"/>
  </r>
  <r>
    <n v="355"/>
    <s v="Burns-Burnett"/>
    <s v="Front-line scalable definition"/>
    <n v="3800"/>
    <n v="2241"/>
    <x v="2"/>
    <x v="99"/>
    <x v="1"/>
    <s v="USD"/>
    <n v="1485064800"/>
    <n v="1488520800"/>
    <b v="0"/>
    <b v="0"/>
    <s v="technology/wearables"/>
    <n v="-0.41026315789473683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x v="174"/>
    <x v="6"/>
    <s v="EUR"/>
    <n v="1326520800"/>
    <n v="1327298400"/>
    <b v="0"/>
    <b v="0"/>
    <s v="theater/plays"/>
    <n v="-0.63107526881720433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x v="142"/>
    <x v="1"/>
    <s v="USD"/>
    <n v="1441256400"/>
    <n v="1443416400"/>
    <b v="0"/>
    <b v="0"/>
    <s v="games/video games"/>
    <n v="0.84913043478260875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x v="276"/>
    <x v="0"/>
    <s v="CAD"/>
    <n v="1533877200"/>
    <n v="1534136400"/>
    <b v="1"/>
    <b v="0"/>
    <s v="photography/photography books"/>
    <n v="-0.88185567010309274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x v="277"/>
    <x v="1"/>
    <s v="USD"/>
    <n v="1314421200"/>
    <n v="1315026000"/>
    <b v="0"/>
    <b v="0"/>
    <s v="film &amp; video/animation"/>
    <n v="1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x v="278"/>
    <x v="4"/>
    <s v="GBP"/>
    <n v="1293861600"/>
    <n v="1295071200"/>
    <b v="0"/>
    <b v="1"/>
    <s v="theater/plays"/>
    <n v="1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x v="39"/>
    <x v="1"/>
    <s v="USD"/>
    <n v="1507352400"/>
    <n v="1509426000"/>
    <b v="0"/>
    <b v="0"/>
    <s v="theater/plays"/>
    <n v="0.73563636363636364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x v="271"/>
    <x v="1"/>
    <s v="USD"/>
    <n v="1296108000"/>
    <n v="1299391200"/>
    <b v="0"/>
    <b v="0"/>
    <s v="music/rock"/>
    <n v="2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x v="279"/>
    <x v="1"/>
    <s v="USD"/>
    <n v="1324965600"/>
    <n v="1325052000"/>
    <b v="0"/>
    <b v="0"/>
    <s v="music/rock"/>
    <n v="0.60192307692307689"/>
    <n v="59.928057553956833"/>
    <x v="1"/>
    <s v="rock"/>
    <x v="346"/>
    <d v="2011-12-28T06:00:00"/>
  </r>
  <r>
    <n v="364"/>
    <s v="Ramirez-Myers"/>
    <s v="Switchable intangible definition"/>
    <n v="900"/>
    <n v="14547"/>
    <x v="1"/>
    <x v="129"/>
    <x v="1"/>
    <s v="USD"/>
    <n v="1520229600"/>
    <n v="1522818000"/>
    <b v="0"/>
    <b v="0"/>
    <s v="music/indie rock"/>
    <n v="15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x v="192"/>
    <x v="2"/>
    <s v="AUD"/>
    <n v="1482991200"/>
    <n v="1485324000"/>
    <b v="0"/>
    <b v="0"/>
    <s v="theater/plays"/>
    <n v="6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x v="196"/>
    <x v="1"/>
    <s v="USD"/>
    <n v="1294034400"/>
    <n v="1294120800"/>
    <b v="0"/>
    <b v="1"/>
    <s v="theater/plays"/>
    <n v="4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x v="51"/>
    <x v="1"/>
    <s v="USD"/>
    <n v="1413608400"/>
    <n v="1415685600"/>
    <b v="0"/>
    <b v="1"/>
    <s v="theater/plays"/>
    <n v="-0.81111111111111112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x v="280"/>
    <x v="4"/>
    <s v="GBP"/>
    <n v="1286946000"/>
    <n v="1288933200"/>
    <b v="0"/>
    <b v="1"/>
    <s v="film &amp; video/documentary"/>
    <n v="1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x v="110"/>
    <x v="1"/>
    <s v="USD"/>
    <n v="1359871200"/>
    <n v="1363237200"/>
    <b v="0"/>
    <b v="1"/>
    <s v="film &amp; video/television"/>
    <n v="1.7301851851851853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x v="281"/>
    <x v="1"/>
    <s v="USD"/>
    <n v="1555304400"/>
    <n v="1555822800"/>
    <b v="0"/>
    <b v="0"/>
    <s v="theater/plays"/>
    <n v="0.59363312555654502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x v="282"/>
    <x v="1"/>
    <s v="USD"/>
    <n v="1423375200"/>
    <n v="1427778000"/>
    <b v="0"/>
    <b v="0"/>
    <s v="theater/plays"/>
    <n v="-0.32130021141649051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x v="283"/>
    <x v="1"/>
    <s v="USD"/>
    <n v="1420696800"/>
    <n v="1422424800"/>
    <b v="0"/>
    <b v="1"/>
    <s v="film &amp; video/documentary"/>
    <n v="14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x v="284"/>
    <x v="1"/>
    <s v="USD"/>
    <n v="1502946000"/>
    <n v="1503637200"/>
    <b v="0"/>
    <b v="0"/>
    <s v="theater/plays"/>
    <n v="6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x v="165"/>
    <x v="1"/>
    <s v="USD"/>
    <n v="1547186400"/>
    <n v="1547618400"/>
    <b v="0"/>
    <b v="1"/>
    <s v="film &amp; video/documentary"/>
    <n v="-0.868142174432496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x v="270"/>
    <x v="1"/>
    <s v="USD"/>
    <n v="1444971600"/>
    <n v="1449900000"/>
    <b v="0"/>
    <b v="0"/>
    <s v="music/indie rock"/>
    <n v="-0.45222222222222225"/>
    <n v="59.16"/>
    <x v="1"/>
    <s v="indie rock"/>
    <x v="358"/>
    <d v="2015-12-12T06:00:00"/>
  </r>
  <r>
    <n v="376"/>
    <s v="Perry PLC"/>
    <s v="Mandatory uniform matrix"/>
    <n v="3400"/>
    <n v="12275"/>
    <x v="1"/>
    <x v="54"/>
    <x v="1"/>
    <s v="USD"/>
    <n v="1404622800"/>
    <n v="1405141200"/>
    <b v="0"/>
    <b v="0"/>
    <s v="music/rock"/>
    <n v="2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x v="78"/>
    <x v="1"/>
    <s v="USD"/>
    <n v="1571720400"/>
    <n v="1572933600"/>
    <b v="0"/>
    <b v="0"/>
    <s v="theater/plays"/>
    <n v="-0.89742454728370225"/>
    <n v="40.14173228346457"/>
    <x v="3"/>
    <s v="plays"/>
    <x v="12"/>
    <d v="2019-11-05T06:00:00"/>
  </r>
  <r>
    <n v="378"/>
    <s v="Fleming-Oliver"/>
    <s v="Managed stable function"/>
    <n v="178200"/>
    <n v="24882"/>
    <x v="0"/>
    <x v="285"/>
    <x v="1"/>
    <s v="USD"/>
    <n v="1526878800"/>
    <n v="1530162000"/>
    <b v="0"/>
    <b v="0"/>
    <s v="film &amp; video/documentary"/>
    <n v="-0.8603703703703703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x v="9"/>
    <x v="4"/>
    <s v="GBP"/>
    <n v="1319691600"/>
    <n v="1320904800"/>
    <b v="0"/>
    <b v="0"/>
    <s v="theater/plays"/>
    <n v="-0.5955555555555555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x v="286"/>
    <x v="1"/>
    <s v="USD"/>
    <n v="1371963600"/>
    <n v="1372395600"/>
    <b v="0"/>
    <b v="0"/>
    <s v="theater/plays"/>
    <n v="0.60319999999999996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x v="287"/>
    <x v="1"/>
    <s v="USD"/>
    <n v="1433739600"/>
    <n v="1437714000"/>
    <b v="0"/>
    <b v="0"/>
    <s v="theater/plays"/>
    <n v="0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x v="109"/>
    <x v="1"/>
    <s v="USD"/>
    <n v="1508130000"/>
    <n v="1509771600"/>
    <b v="0"/>
    <b v="0"/>
    <s v="photography/photography books"/>
    <n v="-0.36230769230769233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x v="288"/>
    <x v="1"/>
    <s v="USD"/>
    <n v="1550037600"/>
    <n v="1550556000"/>
    <b v="0"/>
    <b v="1"/>
    <s v="food/food trucks"/>
    <n v="1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x v="289"/>
    <x v="1"/>
    <s v="USD"/>
    <n v="1486706400"/>
    <n v="1489039200"/>
    <b v="1"/>
    <b v="1"/>
    <s v="film &amp; video/documentary"/>
    <n v="0.7200961538461538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x v="290"/>
    <x v="1"/>
    <s v="USD"/>
    <n v="1553835600"/>
    <n v="1556600400"/>
    <b v="0"/>
    <b v="0"/>
    <s v="publishing/nonfiction"/>
    <n v="0.4616709511568123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x v="291"/>
    <x v="1"/>
    <s v="USD"/>
    <n v="1277528400"/>
    <n v="1278565200"/>
    <b v="0"/>
    <b v="0"/>
    <s v="theater/plays"/>
    <n v="-0.23576383763837638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x v="292"/>
    <x v="1"/>
    <s v="USD"/>
    <n v="1339477200"/>
    <n v="1339909200"/>
    <b v="0"/>
    <b v="0"/>
    <s v="technology/wearables"/>
    <n v="-0.60738532110091747"/>
    <n v="100.93160377358491"/>
    <x v="2"/>
    <s v="wearables"/>
    <x v="368"/>
    <d v="2012-06-17T05:00:00"/>
  </r>
  <r>
    <n v="388"/>
    <s v="Cruz Ltd"/>
    <s v="Exclusive dynamic adapter"/>
    <n v="114800"/>
    <n v="12938"/>
    <x v="3"/>
    <x v="293"/>
    <x v="5"/>
    <s v="CHF"/>
    <n v="1325656800"/>
    <n v="1325829600"/>
    <b v="0"/>
    <b v="0"/>
    <s v="music/indie rock"/>
    <n v="-0.88729965156794421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x v="294"/>
    <x v="1"/>
    <s v="USD"/>
    <n v="1288242000"/>
    <n v="1290578400"/>
    <b v="0"/>
    <b v="0"/>
    <s v="theater/plays"/>
    <n v="0.22110843373493977"/>
    <n v="87.979166666666671"/>
    <x v="3"/>
    <s v="plays"/>
    <x v="370"/>
    <d v="2010-11-24T06:00:00"/>
  </r>
  <r>
    <n v="390"/>
    <s v="Davis-Allen"/>
    <s v="Digitized eco-centric core"/>
    <n v="2400"/>
    <n v="4477"/>
    <x v="1"/>
    <x v="126"/>
    <x v="1"/>
    <s v="USD"/>
    <n v="1379048400"/>
    <n v="1380344400"/>
    <b v="0"/>
    <b v="0"/>
    <s v="photography/photography books"/>
    <n v="0.86541666666666661"/>
    <n v="89.54"/>
    <x v="7"/>
    <s v="photography books"/>
    <x v="371"/>
    <d v="2013-09-28T05:00:00"/>
  </r>
  <r>
    <n v="391"/>
    <s v="Miller-Patel"/>
    <s v="Mandatory uniform strategy"/>
    <n v="60400"/>
    <n v="4393"/>
    <x v="0"/>
    <x v="295"/>
    <x v="1"/>
    <s v="USD"/>
    <n v="1389679200"/>
    <n v="1389852000"/>
    <b v="0"/>
    <b v="0"/>
    <s v="publishing/nonfiction"/>
    <n v="-0.92726821192052977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x v="296"/>
    <x v="1"/>
    <s v="USD"/>
    <n v="1294293600"/>
    <n v="1294466400"/>
    <b v="0"/>
    <b v="0"/>
    <s v="technology/wearables"/>
    <n v="-0.34357628765792031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x v="297"/>
    <x v="0"/>
    <s v="CAD"/>
    <n v="1500267600"/>
    <n v="1500354000"/>
    <b v="0"/>
    <b v="0"/>
    <s v="music/jazz"/>
    <n v="1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x v="298"/>
    <x v="1"/>
    <s v="USD"/>
    <n v="1375074000"/>
    <n v="1375938000"/>
    <b v="0"/>
    <b v="1"/>
    <s v="film &amp; video/documentary"/>
    <n v="3.6937500000000001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x v="10"/>
    <x v="1"/>
    <s v="USD"/>
    <n v="1323324000"/>
    <n v="1323410400"/>
    <b v="1"/>
    <b v="0"/>
    <s v="theater/plays"/>
    <n v="0.30112676056338028"/>
    <n v="41.990909090909092"/>
    <x v="3"/>
    <s v="plays"/>
    <x v="375"/>
    <d v="2011-12-09T06:00:00"/>
  </r>
  <r>
    <n v="396"/>
    <s v="Holmes PLC"/>
    <s v="Digitized local info-mediaries"/>
    <n v="46100"/>
    <n v="77012"/>
    <x v="1"/>
    <x v="299"/>
    <x v="2"/>
    <s v="AUD"/>
    <n v="1538715600"/>
    <n v="1539406800"/>
    <b v="0"/>
    <b v="0"/>
    <s v="film &amp; video/drama"/>
    <n v="0.67054229934924081"/>
    <n v="48.012468827930178"/>
    <x v="4"/>
    <s v="drama"/>
    <x v="376"/>
    <d v="2018-10-13T05:00:00"/>
  </r>
  <r>
    <n v="397"/>
    <s v="Jones-Martin"/>
    <s v="Virtual systematic monitoring"/>
    <n v="8100"/>
    <n v="14083"/>
    <x v="1"/>
    <x v="211"/>
    <x v="1"/>
    <s v="USD"/>
    <n v="1369285200"/>
    <n v="1369803600"/>
    <b v="0"/>
    <b v="0"/>
    <s v="music/rock"/>
    <n v="0.73864197530864195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x v="300"/>
    <x v="6"/>
    <s v="EUR"/>
    <n v="1525755600"/>
    <n v="1525928400"/>
    <b v="0"/>
    <b v="1"/>
    <s v="film &amp; video/animation"/>
    <n v="6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x v="301"/>
    <x v="1"/>
    <s v="USD"/>
    <n v="1296626400"/>
    <n v="1297231200"/>
    <b v="0"/>
    <b v="0"/>
    <s v="music/indie rock"/>
    <n v="-0.36149023638232269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x v="49"/>
    <x v="1"/>
    <s v="USD"/>
    <n v="1376629200"/>
    <n v="1378530000"/>
    <b v="0"/>
    <b v="1"/>
    <s v="photography/photography books"/>
    <n v="-0.98"/>
    <n v="2"/>
    <x v="7"/>
    <s v="photography books"/>
    <x v="380"/>
    <d v="2013-09-07T05:00:00"/>
  </r>
  <r>
    <n v="401"/>
    <s v="Smith-Schmidt"/>
    <s v="Inverse radical hierarchy"/>
    <n v="900"/>
    <n v="13772"/>
    <x v="1"/>
    <x v="302"/>
    <x v="1"/>
    <s v="USD"/>
    <n v="1572152400"/>
    <n v="1572152400"/>
    <b v="0"/>
    <b v="0"/>
    <s v="theater/plays"/>
    <n v="14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x v="174"/>
    <x v="1"/>
    <s v="USD"/>
    <n v="1325829600"/>
    <n v="1329890400"/>
    <b v="0"/>
    <b v="1"/>
    <s v="film &amp; video/shorts"/>
    <n v="-0.59643835616438357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x v="303"/>
    <x v="0"/>
    <s v="CAD"/>
    <n v="1273640400"/>
    <n v="1276750800"/>
    <b v="0"/>
    <b v="1"/>
    <s v="theater/plays"/>
    <n v="-0.13779366700715015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x v="304"/>
    <x v="1"/>
    <s v="USD"/>
    <n v="1510639200"/>
    <n v="1510898400"/>
    <b v="0"/>
    <b v="0"/>
    <s v="theater/plays"/>
    <n v="2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x v="305"/>
    <x v="1"/>
    <s v="USD"/>
    <n v="1528088400"/>
    <n v="1532408400"/>
    <b v="0"/>
    <b v="0"/>
    <s v="theater/plays"/>
    <n v="-0.10381756756756756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x v="306"/>
    <x v="1"/>
    <s v="USD"/>
    <n v="1359525600"/>
    <n v="1360562400"/>
    <b v="1"/>
    <b v="0"/>
    <s v="film &amp; video/documentary"/>
    <n v="0.82145038167938933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x v="307"/>
    <x v="3"/>
    <s v="DKK"/>
    <n v="1570942800"/>
    <n v="1571547600"/>
    <b v="0"/>
    <b v="0"/>
    <s v="theater/plays"/>
    <n v="2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x v="110"/>
    <x v="0"/>
    <s v="CAD"/>
    <n v="1466398800"/>
    <n v="1468126800"/>
    <b v="0"/>
    <b v="0"/>
    <s v="film &amp; video/documentary"/>
    <n v="0.31836956521739129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x v="308"/>
    <x v="1"/>
    <s v="USD"/>
    <n v="1492491600"/>
    <n v="1492837200"/>
    <b v="0"/>
    <b v="0"/>
    <s v="music/rock"/>
    <n v="-0.53684365781710919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x v="309"/>
    <x v="1"/>
    <s v="USD"/>
    <n v="1430197200"/>
    <n v="1430197200"/>
    <b v="0"/>
    <b v="0"/>
    <s v="games/mobile games"/>
    <n v="-0.63867273910214706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x v="172"/>
    <x v="1"/>
    <s v="USD"/>
    <n v="1496034000"/>
    <n v="1496206800"/>
    <b v="0"/>
    <b v="0"/>
    <s v="theater/plays"/>
    <n v="4.6282051282051283E-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x v="38"/>
    <x v="1"/>
    <s v="USD"/>
    <n v="1388728800"/>
    <n v="1389592800"/>
    <b v="0"/>
    <b v="0"/>
    <s v="publishing/fiction"/>
    <n v="5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x v="310"/>
    <x v="1"/>
    <s v="USD"/>
    <n v="1543298400"/>
    <n v="1545631200"/>
    <b v="0"/>
    <b v="0"/>
    <s v="film &amp; video/animation"/>
    <n v="-0.37927176781002636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x v="311"/>
    <x v="1"/>
    <s v="USD"/>
    <n v="1271739600"/>
    <n v="1272430800"/>
    <b v="0"/>
    <b v="1"/>
    <s v="food/food trucks"/>
    <n v="-0.15300212539851221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x v="312"/>
    <x v="1"/>
    <s v="USD"/>
    <n v="1326434400"/>
    <n v="1327903200"/>
    <b v="0"/>
    <b v="0"/>
    <s v="theater/plays"/>
    <n v="-0.88940969162995598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x v="313"/>
    <x v="1"/>
    <s v="USD"/>
    <n v="1295244000"/>
    <n v="1296021600"/>
    <b v="0"/>
    <b v="1"/>
    <s v="film &amp; video/documentary"/>
    <n v="-0.5616121842496285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x v="27"/>
    <x v="1"/>
    <s v="USD"/>
    <n v="1541221200"/>
    <n v="1543298400"/>
    <b v="0"/>
    <b v="0"/>
    <s v="theater/plays"/>
    <n v="-0.44529411764705884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x v="314"/>
    <x v="0"/>
    <s v="CAD"/>
    <n v="1336280400"/>
    <n v="1336366800"/>
    <b v="0"/>
    <b v="0"/>
    <s v="film &amp; video/documentary"/>
    <n v="-0.42600488698839339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x v="315"/>
    <x v="1"/>
    <s v="USD"/>
    <n v="1324533600"/>
    <n v="1325052000"/>
    <b v="0"/>
    <b v="0"/>
    <s v="technology/web"/>
    <n v="0.234349736379613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x v="115"/>
    <x v="1"/>
    <s v="USD"/>
    <n v="1498366800"/>
    <n v="1499576400"/>
    <b v="0"/>
    <b v="0"/>
    <s v="theater/plays"/>
    <n v="0.28460000000000002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x v="316"/>
    <x v="1"/>
    <s v="USD"/>
    <n v="1498712400"/>
    <n v="1501304400"/>
    <b v="0"/>
    <b v="1"/>
    <s v="technology/wearables"/>
    <n v="-0.36010638297872338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x v="317"/>
    <x v="1"/>
    <s v="USD"/>
    <n v="1271480400"/>
    <n v="1273208400"/>
    <b v="0"/>
    <b v="1"/>
    <s v="theater/plays"/>
    <n v="0.27298850574712646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x v="318"/>
    <x v="1"/>
    <s v="USD"/>
    <n v="1316667600"/>
    <n v="1316840400"/>
    <b v="0"/>
    <b v="1"/>
    <s v="food/food trucks"/>
    <n v="-0.8936197564276048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x v="100"/>
    <x v="1"/>
    <s v="USD"/>
    <n v="1524027600"/>
    <n v="1524546000"/>
    <b v="0"/>
    <b v="0"/>
    <s v="music/indie rock"/>
    <n v="-0.5952941176470588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x v="45"/>
    <x v="1"/>
    <s v="USD"/>
    <n v="1438059600"/>
    <n v="1438578000"/>
    <b v="0"/>
    <b v="0"/>
    <s v="photography/photography books"/>
    <n v="1.8766666666666667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x v="319"/>
    <x v="1"/>
    <s v="USD"/>
    <n v="1361944800"/>
    <n v="1362549600"/>
    <b v="0"/>
    <b v="0"/>
    <s v="theater/plays"/>
    <n v="4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x v="320"/>
    <x v="1"/>
    <s v="USD"/>
    <n v="1410584400"/>
    <n v="1413349200"/>
    <b v="0"/>
    <b v="1"/>
    <s v="theater/plays"/>
    <n v="0.1290429799426934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x v="321"/>
    <x v="1"/>
    <s v="USD"/>
    <n v="1297404000"/>
    <n v="1298008800"/>
    <b v="0"/>
    <b v="0"/>
    <s v="film &amp; video/animation"/>
    <n v="-0.53612426035502958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x v="322"/>
    <x v="1"/>
    <s v="USD"/>
    <n v="1392012000"/>
    <n v="1394427600"/>
    <b v="0"/>
    <b v="1"/>
    <s v="photography/photography books"/>
    <n v="-9.324083769633508E-2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x v="286"/>
    <x v="1"/>
    <s v="USD"/>
    <n v="1569733200"/>
    <n v="1572670800"/>
    <b v="0"/>
    <b v="0"/>
    <s v="theater/plays"/>
    <n v="-0.3225925925925926"/>
    <n v="65.321428571428569"/>
    <x v="3"/>
    <s v="plays"/>
    <x v="407"/>
    <d v="2019-11-02T05:00:00"/>
  </r>
  <r>
    <n v="431"/>
    <s v="Rosales LLC"/>
    <s v="Compatible multimedia utilization"/>
    <n v="5100"/>
    <n v="9817"/>
    <x v="1"/>
    <x v="115"/>
    <x v="1"/>
    <s v="USD"/>
    <n v="1529643600"/>
    <n v="1531112400"/>
    <b v="1"/>
    <b v="0"/>
    <s v="theater/plays"/>
    <n v="0.9249019607843137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x v="222"/>
    <x v="1"/>
    <s v="USD"/>
    <n v="1399006800"/>
    <n v="1400734800"/>
    <b v="0"/>
    <b v="0"/>
    <s v="theater/plays"/>
    <n v="-0.17285714285714285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x v="323"/>
    <x v="1"/>
    <s v="USD"/>
    <n v="1385359200"/>
    <n v="1386741600"/>
    <b v="0"/>
    <b v="1"/>
    <s v="film &amp; video/documentary"/>
    <n v="-0.45836079077429981"/>
    <n v="83.023989898989896"/>
    <x v="4"/>
    <s v="documentary"/>
    <x v="410"/>
    <d v="2013-12-11T06:00:00"/>
  </r>
  <r>
    <n v="434"/>
    <s v="Floyd-Sims"/>
    <s v="Cloned transitional hierarchy"/>
    <n v="5400"/>
    <n v="903"/>
    <x v="3"/>
    <x v="234"/>
    <x v="0"/>
    <s v="CAD"/>
    <n v="1480572000"/>
    <n v="1481781600"/>
    <b v="1"/>
    <b v="0"/>
    <s v="theater/plays"/>
    <n v="-0.83277777777777773"/>
    <n v="90.3"/>
    <x v="3"/>
    <s v="plays"/>
    <x v="411"/>
    <d v="2016-12-15T06:00:00"/>
  </r>
  <r>
    <n v="435"/>
    <s v="Spence, Jackson and Kelly"/>
    <s v="Advanced discrete leverage"/>
    <n v="152400"/>
    <n v="178120"/>
    <x v="1"/>
    <x v="324"/>
    <x v="6"/>
    <s v="EUR"/>
    <n v="1418623200"/>
    <n v="1419660000"/>
    <b v="0"/>
    <b v="1"/>
    <s v="theater/plays"/>
    <n v="0.16876640419947506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x v="61"/>
    <x v="1"/>
    <s v="USD"/>
    <n v="1555736400"/>
    <n v="1555822800"/>
    <b v="0"/>
    <b v="0"/>
    <s v="music/jazz"/>
    <n v="9.5215384615384622"/>
    <n v="54.931726907630519"/>
    <x v="1"/>
    <s v="jazz"/>
    <x v="413"/>
    <d v="2019-04-21T05:00:00"/>
  </r>
  <r>
    <n v="437"/>
    <s v="Hansen Group"/>
    <s v="Centralized regional interface"/>
    <n v="8100"/>
    <n v="9969"/>
    <x v="1"/>
    <x v="325"/>
    <x v="1"/>
    <s v="USD"/>
    <n v="1442120400"/>
    <n v="1442379600"/>
    <b v="0"/>
    <b v="1"/>
    <s v="film &amp; video/animation"/>
    <n v="0.23074074074074075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x v="326"/>
    <x v="1"/>
    <s v="USD"/>
    <n v="1362376800"/>
    <n v="1364965200"/>
    <b v="0"/>
    <b v="0"/>
    <s v="theater/plays"/>
    <n v="0.78638554216867473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x v="327"/>
    <x v="1"/>
    <s v="USD"/>
    <n v="1478408400"/>
    <n v="1479016800"/>
    <b v="0"/>
    <b v="0"/>
    <s v="film &amp; video/science fiction"/>
    <n v="2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x v="328"/>
    <x v="1"/>
    <s v="USD"/>
    <n v="1498798800"/>
    <n v="1499662800"/>
    <b v="0"/>
    <b v="0"/>
    <s v="film &amp; video/television"/>
    <n v="0.61906341463414638"/>
    <n v="53.003513254551258"/>
    <x v="4"/>
    <s v="television"/>
    <x v="417"/>
    <d v="2017-07-10T05:00:00"/>
  </r>
  <r>
    <n v="441"/>
    <s v="Rodriguez-West"/>
    <s v="Automated optimal function"/>
    <n v="7000"/>
    <n v="1744"/>
    <x v="0"/>
    <x v="235"/>
    <x v="1"/>
    <s v="USD"/>
    <n v="1335416400"/>
    <n v="1337835600"/>
    <b v="0"/>
    <b v="0"/>
    <s v="technology/wearables"/>
    <n v="-0.75085714285714289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x v="182"/>
    <x v="6"/>
    <s v="EUR"/>
    <n v="1504328400"/>
    <n v="1505710800"/>
    <b v="0"/>
    <b v="0"/>
    <s v="theater/plays"/>
    <n v="0.9872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x v="329"/>
    <x v="1"/>
    <s v="USD"/>
    <n v="1285822800"/>
    <n v="1287464400"/>
    <b v="0"/>
    <b v="0"/>
    <s v="theater/plays"/>
    <n v="-0.65247311827956989"/>
    <n v="35.911111111111111"/>
    <x v="3"/>
    <s v="plays"/>
    <x v="420"/>
    <d v="2010-10-19T05:00:00"/>
  </r>
  <r>
    <n v="444"/>
    <s v="Hensley Ltd"/>
    <s v="Versatile global attitude"/>
    <n v="6200"/>
    <n v="10938"/>
    <x v="1"/>
    <x v="102"/>
    <x v="1"/>
    <s v="USD"/>
    <n v="1311483600"/>
    <n v="1311656400"/>
    <b v="0"/>
    <b v="1"/>
    <s v="music/indie rock"/>
    <n v="0.76419354838709674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x v="73"/>
    <x v="1"/>
    <s v="USD"/>
    <n v="1291356000"/>
    <n v="1293170400"/>
    <b v="0"/>
    <b v="1"/>
    <s v="theater/plays"/>
    <n v="4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x v="129"/>
    <x v="1"/>
    <s v="USD"/>
    <n v="1355810400"/>
    <n v="1355983200"/>
    <b v="0"/>
    <b v="0"/>
    <s v="technology/wearables"/>
    <n v="-0.17955882352941177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x v="330"/>
    <x v="4"/>
    <s v="GBP"/>
    <n v="1513663200"/>
    <n v="1515045600"/>
    <b v="0"/>
    <b v="0"/>
    <s v="film &amp; video/television"/>
    <n v="-0.75673969072164948"/>
    <n v="86"/>
    <x v="4"/>
    <s v="television"/>
    <x v="424"/>
    <d v="2018-01-04T06:00:00"/>
  </r>
  <r>
    <n v="448"/>
    <s v="Price and Sons"/>
    <s v="Object-based demand-driven strategy"/>
    <n v="89900"/>
    <n v="45384"/>
    <x v="0"/>
    <x v="331"/>
    <x v="1"/>
    <s v="USD"/>
    <n v="1365915600"/>
    <n v="1366088400"/>
    <b v="0"/>
    <b v="1"/>
    <s v="games/video games"/>
    <n v="-0.49517241379310345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x v="99"/>
    <x v="3"/>
    <s v="DKK"/>
    <n v="1551852000"/>
    <n v="1553317200"/>
    <b v="0"/>
    <b v="0"/>
    <s v="games/video games"/>
    <n v="8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x v="49"/>
    <x v="0"/>
    <s v="CAD"/>
    <n v="1540098000"/>
    <n v="1542088800"/>
    <b v="0"/>
    <b v="0"/>
    <s v="film &amp; video/animation"/>
    <n v="-0.96"/>
    <n v="4"/>
    <x v="4"/>
    <s v="animation"/>
    <x v="427"/>
    <d v="2018-11-13T06:00:00"/>
  </r>
  <r>
    <n v="451"/>
    <s v="Padilla-Porter"/>
    <s v="Innovative exuding matrix"/>
    <n v="148400"/>
    <n v="182302"/>
    <x v="1"/>
    <x v="332"/>
    <x v="1"/>
    <s v="USD"/>
    <n v="1500440400"/>
    <n v="1503118800"/>
    <b v="0"/>
    <b v="0"/>
    <s v="music/rock"/>
    <n v="0.22845013477088949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x v="249"/>
    <x v="1"/>
    <s v="USD"/>
    <n v="1278392400"/>
    <n v="1278478800"/>
    <b v="0"/>
    <b v="0"/>
    <s v="film &amp; video/drama"/>
    <n v="-0.36562499999999998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x v="333"/>
    <x v="1"/>
    <s v="USD"/>
    <n v="1480572000"/>
    <n v="1484114400"/>
    <b v="0"/>
    <b v="0"/>
    <s v="film &amp; video/science fiction"/>
    <n v="-0.43668311403508769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x v="334"/>
    <x v="1"/>
    <s v="USD"/>
    <n v="1382331600"/>
    <n v="1385445600"/>
    <b v="0"/>
    <b v="1"/>
    <s v="film &amp; video/drama"/>
    <n v="-0.55925000000000002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x v="335"/>
    <x v="1"/>
    <s v="USD"/>
    <n v="1316754000"/>
    <n v="1318741200"/>
    <b v="0"/>
    <b v="0"/>
    <s v="theater/plays"/>
    <n v="0.1837253218884120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x v="336"/>
    <x v="1"/>
    <s v="USD"/>
    <n v="1518242400"/>
    <n v="1518242400"/>
    <b v="0"/>
    <b v="1"/>
    <s v="music/indie rock"/>
    <n v="4.1243169398907105E-2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x v="337"/>
    <x v="1"/>
    <s v="USD"/>
    <n v="1476421200"/>
    <n v="1476594000"/>
    <b v="0"/>
    <b v="0"/>
    <s v="theater/plays"/>
    <n v="-0.7336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x v="338"/>
    <x v="1"/>
    <s v="USD"/>
    <n v="1269752400"/>
    <n v="1273554000"/>
    <b v="0"/>
    <b v="0"/>
    <s v="theater/plays"/>
    <n v="2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x v="339"/>
    <x v="1"/>
    <s v="USD"/>
    <n v="1419746400"/>
    <n v="1421906400"/>
    <b v="0"/>
    <b v="0"/>
    <s v="film &amp; video/documentary"/>
    <n v="-9.9365079365079365E-2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x v="126"/>
    <x v="1"/>
    <s v="USD"/>
    <n v="1281330000"/>
    <n v="1281589200"/>
    <b v="0"/>
    <b v="0"/>
    <s v="theater/plays"/>
    <n v="0.71625000000000005"/>
    <n v="82.38"/>
    <x v="3"/>
    <s v="plays"/>
    <x v="8"/>
    <d v="2010-08-12T05:00:00"/>
  </r>
  <r>
    <n v="461"/>
    <s v="Terry-Salinas"/>
    <s v="Networked secondary structure"/>
    <n v="98800"/>
    <n v="139354"/>
    <x v="1"/>
    <x v="340"/>
    <x v="1"/>
    <s v="USD"/>
    <n v="1398661200"/>
    <n v="1400389200"/>
    <b v="0"/>
    <b v="0"/>
    <s v="film &amp; video/drama"/>
    <n v="0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x v="341"/>
    <x v="1"/>
    <s v="USD"/>
    <n v="1359525600"/>
    <n v="1362808800"/>
    <b v="0"/>
    <b v="0"/>
    <s v="games/mobile games"/>
    <n v="-0.69420550847457629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x v="342"/>
    <x v="1"/>
    <s v="USD"/>
    <n v="1388469600"/>
    <n v="1388815200"/>
    <b v="0"/>
    <b v="0"/>
    <s v="film &amp; video/animation"/>
    <n v="8.1645569620253169E-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x v="343"/>
    <x v="1"/>
    <s v="USD"/>
    <n v="1518328800"/>
    <n v="1519538400"/>
    <b v="0"/>
    <b v="0"/>
    <s v="theater/plays"/>
    <n v="0.33455056179775283"/>
    <n v="39.006568144499177"/>
    <x v="3"/>
    <s v="plays"/>
    <x v="438"/>
    <d v="2018-02-25T06:00:00"/>
  </r>
  <r>
    <n v="465"/>
    <s v="Gonzalez-Robbins"/>
    <s v="Up-sized responsive protocol"/>
    <n v="4700"/>
    <n v="8829"/>
    <x v="1"/>
    <x v="175"/>
    <x v="1"/>
    <s v="USD"/>
    <n v="1517032800"/>
    <n v="1517810400"/>
    <b v="0"/>
    <b v="0"/>
    <s v="publishing/translations"/>
    <n v="0.87851063829787235"/>
    <n v="110.3625"/>
    <x v="5"/>
    <s v="translations"/>
    <x v="439"/>
    <d v="2018-02-05T06:00:00"/>
  </r>
  <r>
    <n v="466"/>
    <s v="Obrien and Sons"/>
    <s v="Pre-emptive transitional frame"/>
    <n v="1200"/>
    <n v="3984"/>
    <x v="1"/>
    <x v="344"/>
    <x v="1"/>
    <s v="USD"/>
    <n v="1368594000"/>
    <n v="1370581200"/>
    <b v="0"/>
    <b v="1"/>
    <s v="technology/wearables"/>
    <n v="2.3199999999999998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x v="279"/>
    <x v="0"/>
    <s v="CAD"/>
    <n v="1448258400"/>
    <n v="1448863200"/>
    <b v="0"/>
    <b v="1"/>
    <s v="technology/web"/>
    <n v="4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x v="36"/>
    <x v="1"/>
    <s v="USD"/>
    <n v="1555218000"/>
    <n v="1556600400"/>
    <b v="0"/>
    <b v="0"/>
    <s v="theater/plays"/>
    <n v="-0.59499999999999997"/>
    <n v="101.25"/>
    <x v="3"/>
    <s v="plays"/>
    <x v="442"/>
    <d v="2019-04-30T05:00:00"/>
  </r>
  <r>
    <n v="469"/>
    <s v="Olsen-Ryan"/>
    <s v="Assimilated neutral utilization"/>
    <n v="5600"/>
    <n v="10328"/>
    <x v="1"/>
    <x v="122"/>
    <x v="1"/>
    <s v="USD"/>
    <n v="1431925200"/>
    <n v="1432098000"/>
    <b v="0"/>
    <b v="0"/>
    <s v="film &amp; video/drama"/>
    <n v="0.84428571428571431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x v="345"/>
    <x v="1"/>
    <s v="USD"/>
    <n v="1481522400"/>
    <n v="1482127200"/>
    <b v="0"/>
    <b v="0"/>
    <s v="technology/wearables"/>
    <n v="1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x v="346"/>
    <x v="4"/>
    <s v="GBP"/>
    <n v="1335934800"/>
    <n v="1335934800"/>
    <b v="0"/>
    <b v="1"/>
    <s v="food/food trucks"/>
    <n v="2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x v="347"/>
    <x v="1"/>
    <s v="USD"/>
    <n v="1552280400"/>
    <n v="1556946000"/>
    <b v="0"/>
    <b v="0"/>
    <s v="music/rock"/>
    <n v="-0.60765929778933681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x v="88"/>
    <x v="1"/>
    <s v="USD"/>
    <n v="1529989200"/>
    <n v="1530075600"/>
    <b v="0"/>
    <b v="0"/>
    <s v="music/electric music"/>
    <n v="0.78139999999999998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x v="23"/>
    <x v="1"/>
    <s v="USD"/>
    <n v="1418709600"/>
    <n v="1418796000"/>
    <b v="0"/>
    <b v="0"/>
    <s v="film &amp; video/television"/>
    <n v="2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x v="57"/>
    <x v="1"/>
    <s v="USD"/>
    <n v="1372136400"/>
    <n v="1372482000"/>
    <b v="0"/>
    <b v="1"/>
    <s v="publishing/translations"/>
    <n v="0.13945945945945945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x v="348"/>
    <x v="1"/>
    <s v="USD"/>
    <n v="1533877200"/>
    <n v="1534395600"/>
    <b v="0"/>
    <b v="0"/>
    <s v="publishing/fiction"/>
    <n v="-0.7017127937336814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x v="86"/>
    <x v="1"/>
    <s v="USD"/>
    <n v="1309064400"/>
    <n v="1311397200"/>
    <b v="0"/>
    <b v="0"/>
    <s v="film &amp; video/science fiction"/>
    <n v="-0.4572941176470588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x v="349"/>
    <x v="1"/>
    <s v="USD"/>
    <n v="1425877200"/>
    <n v="1426914000"/>
    <b v="0"/>
    <b v="0"/>
    <s v="technology/wearables"/>
    <n v="1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x v="350"/>
    <x v="4"/>
    <s v="GBP"/>
    <n v="1501304400"/>
    <n v="1501477200"/>
    <b v="0"/>
    <b v="0"/>
    <s v="food/food trucks"/>
    <n v="4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x v="215"/>
    <x v="1"/>
    <s v="USD"/>
    <n v="1268287200"/>
    <n v="1269061200"/>
    <b v="0"/>
    <b v="1"/>
    <s v="photography/photography books"/>
    <n v="6.5116279069767444E-3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x v="351"/>
    <x v="1"/>
    <s v="USD"/>
    <n v="1412139600"/>
    <n v="1415772000"/>
    <b v="0"/>
    <b v="1"/>
    <s v="theater/plays"/>
    <n v="-0.18651576805696846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x v="352"/>
    <x v="1"/>
    <s v="USD"/>
    <n v="1330063200"/>
    <n v="1331013600"/>
    <b v="0"/>
    <b v="1"/>
    <s v="publishing/fiction"/>
    <n v="-0.835952380952381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x v="353"/>
    <x v="1"/>
    <s v="USD"/>
    <n v="1576130400"/>
    <n v="1576735200"/>
    <b v="0"/>
    <b v="0"/>
    <s v="theater/plays"/>
    <n v="-0.47225382932166304"/>
    <n v="87.068592057761734"/>
    <x v="3"/>
    <s v="plays"/>
    <x v="455"/>
    <d v="2019-12-19T06:00:00"/>
  </r>
  <r>
    <n v="484"/>
    <s v="Landry Inc"/>
    <s v="Synergistic cohesive adapter"/>
    <n v="29600"/>
    <n v="77021"/>
    <x v="1"/>
    <x v="354"/>
    <x v="4"/>
    <s v="GBP"/>
    <n v="1407128400"/>
    <n v="1411362000"/>
    <b v="0"/>
    <b v="1"/>
    <s v="food/food trucks"/>
    <n v="1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x v="355"/>
    <x v="4"/>
    <s v="GBP"/>
    <n v="1560142800"/>
    <n v="1563685200"/>
    <b v="0"/>
    <b v="0"/>
    <s v="theater/plays"/>
    <n v="-0.69267108167770419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x v="356"/>
    <x v="4"/>
    <s v="GBP"/>
    <n v="1520575200"/>
    <n v="1521867600"/>
    <b v="0"/>
    <b v="1"/>
    <s v="publishing/translations"/>
    <n v="-0.86499999999999999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x v="357"/>
    <x v="1"/>
    <s v="USD"/>
    <n v="1492664400"/>
    <n v="1495515600"/>
    <b v="0"/>
    <b v="0"/>
    <s v="theater/plays"/>
    <n v="0.78625566636446054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x v="127"/>
    <x v="1"/>
    <s v="USD"/>
    <n v="1454479200"/>
    <n v="1455948000"/>
    <b v="0"/>
    <b v="0"/>
    <s v="theater/plays"/>
    <n v="1.2005660377358491"/>
    <n v="101.41739130434783"/>
    <x v="3"/>
    <s v="plays"/>
    <x v="460"/>
    <d v="2016-02-20T06:00:00"/>
  </r>
  <r>
    <n v="489"/>
    <s v="Clark Inc"/>
    <s v="Down-sized mobile time-frame"/>
    <n v="9200"/>
    <n v="9339"/>
    <x v="1"/>
    <x v="72"/>
    <x v="6"/>
    <s v="EUR"/>
    <n v="1281934800"/>
    <n v="1282366800"/>
    <b v="0"/>
    <b v="0"/>
    <s v="technology/wearables"/>
    <n v="1.5108695652173912E-2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x v="358"/>
    <x v="1"/>
    <s v="USD"/>
    <n v="1573970400"/>
    <n v="1574575200"/>
    <b v="0"/>
    <b v="0"/>
    <s v="journalism/audio"/>
    <n v="0.91500000000000004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x v="120"/>
    <x v="1"/>
    <s v="USD"/>
    <n v="1372654800"/>
    <n v="1374901200"/>
    <b v="0"/>
    <b v="1"/>
    <s v="food/food trucks"/>
    <n v="2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x v="359"/>
    <x v="1"/>
    <s v="USD"/>
    <n v="1275886800"/>
    <n v="1278910800"/>
    <b v="1"/>
    <b v="1"/>
    <s v="film &amp; video/shorts"/>
    <n v="-0.76004712041884814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x v="251"/>
    <x v="1"/>
    <s v="USD"/>
    <n v="1561784400"/>
    <n v="1562907600"/>
    <b v="0"/>
    <b v="0"/>
    <s v="photography/photography books"/>
    <n v="6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x v="360"/>
    <x v="1"/>
    <s v="USD"/>
    <n v="1332392400"/>
    <n v="1332478800"/>
    <b v="0"/>
    <b v="0"/>
    <s v="technology/wearables"/>
    <n v="4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x v="135"/>
    <x v="3"/>
    <s v="DKK"/>
    <n v="1402376400"/>
    <n v="1402722000"/>
    <b v="0"/>
    <b v="0"/>
    <s v="theater/plays"/>
    <n v="3.145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x v="71"/>
    <x v="1"/>
    <s v="USD"/>
    <n v="1495342800"/>
    <n v="1496811600"/>
    <b v="0"/>
    <b v="0"/>
    <s v="film &amp; video/animation"/>
    <n v="-0.99093035908596305"/>
    <n v="30.87037037037037"/>
    <x v="4"/>
    <s v="animation"/>
    <x v="468"/>
    <d v="2017-06-07T05:00:00"/>
  </r>
  <r>
    <n v="497"/>
    <s v="Lucero Group"/>
    <s v="Intuitive actuating benchmark"/>
    <n v="9800"/>
    <n v="3349"/>
    <x v="0"/>
    <x v="53"/>
    <x v="1"/>
    <s v="USD"/>
    <n v="1482213600"/>
    <n v="1482213600"/>
    <b v="0"/>
    <b v="1"/>
    <s v="technology/wearables"/>
    <n v="-0.65826530612244893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x v="361"/>
    <x v="3"/>
    <s v="DKK"/>
    <n v="1420092000"/>
    <n v="1420264800"/>
    <b v="0"/>
    <b v="0"/>
    <s v="technology/web"/>
    <n v="-0.76051189245087902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x v="362"/>
    <x v="1"/>
    <s v="USD"/>
    <n v="1458018000"/>
    <n v="1458450000"/>
    <b v="0"/>
    <b v="1"/>
    <s v="film &amp; video/documentary"/>
    <n v="-0.51927350427350427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x v="0"/>
    <x v="1"/>
    <s v="USD"/>
    <n v="1367384400"/>
    <n v="1369803600"/>
    <b v="0"/>
    <b v="1"/>
    <s v="theater/plays"/>
    <n v="-1"/>
    <n v="0"/>
    <x v="3"/>
    <s v="plays"/>
    <x v="472"/>
    <d v="2013-05-29T05:00:00"/>
  </r>
  <r>
    <n v="501"/>
    <s v="Mccann-Le"/>
    <s v="Focused coherent methodology"/>
    <n v="153600"/>
    <n v="107743"/>
    <x v="0"/>
    <x v="363"/>
    <x v="1"/>
    <s v="USD"/>
    <n v="1363064400"/>
    <n v="1363237200"/>
    <b v="0"/>
    <b v="0"/>
    <s v="film &amp; video/documentary"/>
    <n v="-0.29854817708333331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x v="129"/>
    <x v="2"/>
    <s v="AUD"/>
    <n v="1343365200"/>
    <n v="1345870800"/>
    <b v="0"/>
    <b v="1"/>
    <s v="games/video games"/>
    <n v="4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x v="364"/>
    <x v="1"/>
    <s v="USD"/>
    <n v="1435726800"/>
    <n v="1437454800"/>
    <b v="0"/>
    <b v="0"/>
    <s v="film &amp; video/drama"/>
    <n v="0.80325490196078431"/>
    <n v="99.963043478260872"/>
    <x v="4"/>
    <s v="drama"/>
    <x v="72"/>
    <d v="2015-07-21T05:00:00"/>
  </r>
  <r>
    <n v="504"/>
    <s v="Smith-Miller"/>
    <s v="De-engineered cohesive moderator"/>
    <n v="7500"/>
    <n v="6924"/>
    <x v="0"/>
    <x v="197"/>
    <x v="6"/>
    <s v="EUR"/>
    <n v="1431925200"/>
    <n v="1432011600"/>
    <b v="0"/>
    <b v="0"/>
    <s v="music/rock"/>
    <n v="-7.6799999999999993E-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x v="365"/>
    <x v="1"/>
    <s v="USD"/>
    <n v="1362722400"/>
    <n v="1366347600"/>
    <b v="0"/>
    <b v="1"/>
    <s v="publishing/radio &amp; podcasts"/>
    <n v="-0.86098998887652944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x v="366"/>
    <x v="1"/>
    <s v="USD"/>
    <n v="1511416800"/>
    <n v="1512885600"/>
    <b v="0"/>
    <b v="1"/>
    <s v="theater/plays"/>
    <n v="8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x v="161"/>
    <x v="1"/>
    <s v="USD"/>
    <n v="1365483600"/>
    <n v="1369717200"/>
    <b v="0"/>
    <b v="1"/>
    <s v="technology/web"/>
    <n v="-0.60142857142857142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x v="367"/>
    <x v="1"/>
    <s v="USD"/>
    <n v="1532840400"/>
    <n v="1534654800"/>
    <b v="0"/>
    <b v="0"/>
    <s v="theater/plays"/>
    <n v="0.12229299363057325"/>
    <n v="52.999726551818434"/>
    <x v="3"/>
    <s v="plays"/>
    <x v="192"/>
    <d v="2018-08-19T05:00:00"/>
  </r>
  <r>
    <n v="509"/>
    <s v="White LLC"/>
    <s v="Robust zero-defect project"/>
    <n v="168500"/>
    <n v="119510"/>
    <x v="0"/>
    <x v="368"/>
    <x v="1"/>
    <s v="USD"/>
    <n v="1336194000"/>
    <n v="1337058000"/>
    <b v="0"/>
    <b v="0"/>
    <s v="theater/plays"/>
    <n v="-0.29074183976261125"/>
    <n v="95"/>
    <x v="3"/>
    <s v="plays"/>
    <x v="477"/>
    <d v="2012-05-15T05:00:00"/>
  </r>
  <r>
    <n v="510"/>
    <s v="Best, Miller and Thomas"/>
    <s v="Re-engineered mobile task-force"/>
    <n v="7800"/>
    <n v="9289"/>
    <x v="1"/>
    <x v="54"/>
    <x v="2"/>
    <s v="AUD"/>
    <n v="1527742800"/>
    <n v="1529816400"/>
    <b v="0"/>
    <b v="0"/>
    <s v="film &amp; video/drama"/>
    <n v="0.19089743589743591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x v="369"/>
    <x v="1"/>
    <s v="USD"/>
    <n v="1564030800"/>
    <n v="1564894800"/>
    <b v="0"/>
    <b v="0"/>
    <s v="theater/plays"/>
    <n v="-0.7598240866035183"/>
    <n v="98.060773480662988"/>
    <x v="3"/>
    <s v="plays"/>
    <x v="479"/>
    <d v="2019-08-04T05:00:00"/>
  </r>
  <r>
    <n v="512"/>
    <s v="Williams-Walsh"/>
    <s v="Organized explicit core"/>
    <n v="9100"/>
    <n v="12678"/>
    <x v="1"/>
    <x v="370"/>
    <x v="1"/>
    <s v="USD"/>
    <n v="1404536400"/>
    <n v="1404622800"/>
    <b v="0"/>
    <b v="1"/>
    <s v="games/video games"/>
    <n v="0.3931868131868132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x v="164"/>
    <x v="1"/>
    <s v="USD"/>
    <n v="1284008400"/>
    <n v="1284181200"/>
    <b v="0"/>
    <b v="0"/>
    <s v="film &amp; video/television"/>
    <n v="-0.60722891566265058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x v="371"/>
    <x v="5"/>
    <s v="CHF"/>
    <n v="1386309600"/>
    <n v="1386741600"/>
    <b v="0"/>
    <b v="1"/>
    <s v="music/rock"/>
    <n v="-0.77560922855082914"/>
    <n v="58.945075757575758"/>
    <x v="1"/>
    <s v="rock"/>
    <x v="481"/>
    <d v="2013-12-11T06:00:00"/>
  </r>
  <r>
    <n v="515"/>
    <s v="Cox LLC"/>
    <s v="Phased 24hour flexibility"/>
    <n v="8600"/>
    <n v="4797"/>
    <x v="0"/>
    <x v="221"/>
    <x v="0"/>
    <s v="CAD"/>
    <n v="1324620000"/>
    <n v="1324792800"/>
    <b v="0"/>
    <b v="1"/>
    <s v="theater/plays"/>
    <n v="-0.44220930232558142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x v="372"/>
    <x v="1"/>
    <s v="USD"/>
    <n v="1281070800"/>
    <n v="1284354000"/>
    <b v="0"/>
    <b v="0"/>
    <s v="publishing/nonfiction"/>
    <n v="-0.57476874003189793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x v="373"/>
    <x v="1"/>
    <s v="USD"/>
    <n v="1493960400"/>
    <n v="1494392400"/>
    <b v="0"/>
    <b v="0"/>
    <s v="food/food trucks"/>
    <n v="0.12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x v="234"/>
    <x v="1"/>
    <s v="USD"/>
    <n v="1519365600"/>
    <n v="1519538400"/>
    <b v="0"/>
    <b v="1"/>
    <s v="film &amp; video/animation"/>
    <n v="-0.92931818181818182"/>
    <n v="62.2"/>
    <x v="4"/>
    <s v="animation"/>
    <x v="484"/>
    <d v="2018-02-25T06:00:00"/>
  </r>
  <r>
    <n v="519"/>
    <s v="Marsh-Coleman"/>
    <s v="Exclusive asymmetric analyzer"/>
    <n v="177700"/>
    <n v="180802"/>
    <x v="1"/>
    <x v="374"/>
    <x v="1"/>
    <s v="USD"/>
    <n v="1420696800"/>
    <n v="1421906400"/>
    <b v="0"/>
    <b v="1"/>
    <s v="music/rock"/>
    <n v="1.7456387169386606E-2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x v="235"/>
    <x v="1"/>
    <s v="USD"/>
    <n v="1555650000"/>
    <n v="1555909200"/>
    <b v="0"/>
    <b v="0"/>
    <s v="theater/plays"/>
    <n v="3.2574999999999998"/>
    <n v="106.4375"/>
    <x v="3"/>
    <s v="plays"/>
    <x v="485"/>
    <d v="2019-04-22T05:00:00"/>
  </r>
  <r>
    <n v="521"/>
    <s v="Wilson Ltd"/>
    <s v="Function-based multi-state software"/>
    <n v="7600"/>
    <n v="11061"/>
    <x v="1"/>
    <x v="375"/>
    <x v="1"/>
    <s v="USD"/>
    <n v="1471928400"/>
    <n v="1472446800"/>
    <b v="0"/>
    <b v="1"/>
    <s v="film &amp; video/drama"/>
    <n v="0.45539473684210524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x v="271"/>
    <x v="1"/>
    <s v="USD"/>
    <n v="1341291600"/>
    <n v="1342328400"/>
    <b v="0"/>
    <b v="0"/>
    <s v="film &amp; video/shorts"/>
    <n v="-0.67546534653465351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x v="121"/>
    <x v="1"/>
    <s v="USD"/>
    <n v="1267682400"/>
    <n v="1268114400"/>
    <b v="0"/>
    <b v="0"/>
    <s v="film &amp; video/shorts"/>
    <n v="6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x v="376"/>
    <x v="1"/>
    <s v="USD"/>
    <n v="1272258000"/>
    <n v="1273381200"/>
    <b v="0"/>
    <b v="0"/>
    <s v="theater/plays"/>
    <n v="-0.16095139607032058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x v="377"/>
    <x v="1"/>
    <s v="USD"/>
    <n v="1290492000"/>
    <n v="1290837600"/>
    <b v="0"/>
    <b v="0"/>
    <s v="technology/wearables"/>
    <n v="-0.1580952380952380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x v="98"/>
    <x v="1"/>
    <s v="USD"/>
    <n v="1451109600"/>
    <n v="1454306400"/>
    <b v="0"/>
    <b v="1"/>
    <s v="theater/plays"/>
    <n v="0.55951807228915662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x v="378"/>
    <x v="0"/>
    <s v="CAD"/>
    <n v="1454652000"/>
    <n v="1457762400"/>
    <b v="0"/>
    <b v="0"/>
    <s v="film &amp; video/animation"/>
    <n v="-3.8054968287526427E-3"/>
    <n v="31"/>
    <x v="4"/>
    <s v="animation"/>
    <x v="491"/>
    <d v="2016-03-12T06:00:00"/>
  </r>
  <r>
    <n v="528"/>
    <s v="Avila, Ford and Welch"/>
    <s v="Focused leadingedge matrix"/>
    <n v="9000"/>
    <n v="7227"/>
    <x v="0"/>
    <x v="175"/>
    <x v="4"/>
    <s v="GBP"/>
    <n v="1385186400"/>
    <n v="1389074400"/>
    <b v="0"/>
    <b v="0"/>
    <s v="music/indie rock"/>
    <n v="-0.1970000000000000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x v="352"/>
    <x v="1"/>
    <s v="USD"/>
    <n v="1399698000"/>
    <n v="1402117200"/>
    <b v="0"/>
    <b v="0"/>
    <s v="games/video games"/>
    <n v="-0.88745098039215686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x v="200"/>
    <x v="1"/>
    <s v="USD"/>
    <n v="1283230800"/>
    <n v="1284440400"/>
    <b v="0"/>
    <b v="1"/>
    <s v="publishing/fiction"/>
    <n v="-8.2590476190476186E-2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x v="379"/>
    <x v="5"/>
    <s v="CHF"/>
    <n v="1384149600"/>
    <n v="1388988000"/>
    <b v="0"/>
    <b v="0"/>
    <s v="games/video games"/>
    <n v="-4.4788430637386183E-2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x v="105"/>
    <x v="0"/>
    <s v="CAD"/>
    <n v="1516860000"/>
    <n v="1516946400"/>
    <b v="0"/>
    <b v="0"/>
    <s v="theater/plays"/>
    <n v="4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x v="380"/>
    <x v="4"/>
    <s v="GBP"/>
    <n v="1374642000"/>
    <n v="1377752400"/>
    <b v="0"/>
    <b v="0"/>
    <s v="music/indie rock"/>
    <n v="0.59243944636678203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x v="166"/>
    <x v="1"/>
    <s v="USD"/>
    <n v="1534482000"/>
    <n v="1534568400"/>
    <b v="0"/>
    <b v="1"/>
    <s v="film &amp; video/drama"/>
    <n v="-0.84977553310886644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x v="381"/>
    <x v="6"/>
    <s v="EUR"/>
    <n v="1528434000"/>
    <n v="1528606800"/>
    <b v="0"/>
    <b v="1"/>
    <s v="theater/plays"/>
    <n v="3.8203846153846155"/>
    <n v="62.044554455445542"/>
    <x v="3"/>
    <s v="plays"/>
    <x v="499"/>
    <d v="2018-06-10T05:00:00"/>
  </r>
  <r>
    <n v="536"/>
    <s v="Shannon-Olson"/>
    <s v="Enhanced methodical middleware"/>
    <n v="9800"/>
    <n v="14697"/>
    <x v="1"/>
    <x v="382"/>
    <x v="6"/>
    <s v="EUR"/>
    <n v="1282626000"/>
    <n v="1284872400"/>
    <b v="0"/>
    <b v="0"/>
    <s v="publishing/fiction"/>
    <n v="0.4996938775510204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x v="383"/>
    <x v="3"/>
    <s v="DKK"/>
    <n v="1535605200"/>
    <n v="1537592400"/>
    <b v="1"/>
    <b v="1"/>
    <s v="film &amp; video/documentary"/>
    <n v="0.17221563981042654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x v="384"/>
    <x v="1"/>
    <s v="USD"/>
    <n v="1379826000"/>
    <n v="1381208400"/>
    <b v="0"/>
    <b v="0"/>
    <s v="games/mobile games"/>
    <n v="-0.62304031725049569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x v="385"/>
    <x v="1"/>
    <s v="USD"/>
    <n v="1561957200"/>
    <n v="1562475600"/>
    <b v="0"/>
    <b v="1"/>
    <s v="food/food trucks"/>
    <n v="-0.273469387755102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x v="326"/>
    <x v="1"/>
    <s v="USD"/>
    <n v="1525496400"/>
    <n v="1527397200"/>
    <b v="0"/>
    <b v="0"/>
    <s v="photography/photography books"/>
    <n v="1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x v="386"/>
    <x v="6"/>
    <s v="EUR"/>
    <n v="1433912400"/>
    <n v="1436158800"/>
    <b v="0"/>
    <b v="0"/>
    <s v="games/mobile games"/>
    <n v="-0.75794382022471907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x v="240"/>
    <x v="4"/>
    <s v="GBP"/>
    <n v="1453442400"/>
    <n v="1456034400"/>
    <b v="0"/>
    <b v="0"/>
    <s v="music/indie rock"/>
    <n v="-0.97493506493506499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x v="80"/>
    <x v="1"/>
    <s v="USD"/>
    <n v="1378875600"/>
    <n v="1380171600"/>
    <b v="0"/>
    <b v="0"/>
    <s v="games/video games"/>
    <n v="-0.83670200235571257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x v="286"/>
    <x v="1"/>
    <s v="USD"/>
    <n v="1452232800"/>
    <n v="1453356000"/>
    <b v="0"/>
    <b v="0"/>
    <s v="music/rock"/>
    <n v="1.7649999999999999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x v="387"/>
    <x v="1"/>
    <s v="USD"/>
    <n v="1577253600"/>
    <n v="1578981600"/>
    <b v="0"/>
    <b v="0"/>
    <s v="theater/plays"/>
    <n v="-0.1119642857142857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x v="39"/>
    <x v="1"/>
    <s v="USD"/>
    <n v="1537160400"/>
    <n v="1537419600"/>
    <b v="0"/>
    <b v="1"/>
    <s v="theater/plays"/>
    <n v="0.63571428571428568"/>
    <n v="78.068181818181813"/>
    <x v="3"/>
    <s v="plays"/>
    <x v="510"/>
    <d v="2018-09-20T05:00:00"/>
  </r>
  <r>
    <n v="547"/>
    <s v="Hardin-Dixon"/>
    <s v="Focused solution-oriented matrix"/>
    <n v="1300"/>
    <n v="12597"/>
    <x v="1"/>
    <x v="388"/>
    <x v="1"/>
    <s v="USD"/>
    <n v="1422165600"/>
    <n v="1423202400"/>
    <b v="0"/>
    <b v="0"/>
    <s v="film &amp; video/drama"/>
    <n v="8.69"/>
    <n v="80.75"/>
    <x v="4"/>
    <s v="drama"/>
    <x v="511"/>
    <d v="2015-02-06T06:00:00"/>
  </r>
  <r>
    <n v="548"/>
    <s v="York-Pitts"/>
    <s v="Monitored discrete toolset"/>
    <n v="66100"/>
    <n v="179074"/>
    <x v="1"/>
    <x v="389"/>
    <x v="1"/>
    <s v="USD"/>
    <n v="1459486800"/>
    <n v="1460610000"/>
    <b v="0"/>
    <b v="0"/>
    <s v="theater/plays"/>
    <n v="1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x v="390"/>
    <x v="1"/>
    <s v="USD"/>
    <n v="1369717200"/>
    <n v="1370494800"/>
    <b v="0"/>
    <b v="0"/>
    <s v="technology/wearables"/>
    <n v="1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x v="49"/>
    <x v="5"/>
    <s v="CHF"/>
    <n v="1330495200"/>
    <n v="1332306000"/>
    <b v="0"/>
    <b v="0"/>
    <s v="music/indie rock"/>
    <n v="-0.96"/>
    <n v="4"/>
    <x v="1"/>
    <s v="indie rock"/>
    <x v="514"/>
    <d v="2012-03-21T05:00:00"/>
  </r>
  <r>
    <n v="551"/>
    <s v="Martin-James"/>
    <s v="Streamlined upward-trending analyzer"/>
    <n v="180100"/>
    <n v="105598"/>
    <x v="0"/>
    <x v="391"/>
    <x v="2"/>
    <s v="AUD"/>
    <n v="1419055200"/>
    <n v="1422511200"/>
    <b v="0"/>
    <b v="1"/>
    <s v="technology/web"/>
    <n v="-0.41367018323153804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x v="45"/>
    <x v="1"/>
    <s v="USD"/>
    <n v="1480140000"/>
    <n v="1480312800"/>
    <b v="0"/>
    <b v="0"/>
    <s v="theater/plays"/>
    <n v="-1.4888888888888889E-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x v="392"/>
    <x v="1"/>
    <s v="USD"/>
    <n v="1293948000"/>
    <n v="1294034400"/>
    <b v="0"/>
    <b v="0"/>
    <s v="music/rock"/>
    <n v="-0.56024618991793673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x v="353"/>
    <x v="0"/>
    <s v="CAD"/>
    <n v="1482127200"/>
    <n v="1482645600"/>
    <b v="0"/>
    <b v="0"/>
    <s v="music/indie rock"/>
    <n v="0.51663157894736844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x v="18"/>
    <x v="3"/>
    <s v="DKK"/>
    <n v="1396414800"/>
    <n v="1399093200"/>
    <b v="0"/>
    <b v="0"/>
    <s v="music/rock"/>
    <n v="1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x v="393"/>
    <x v="1"/>
    <s v="USD"/>
    <n v="1315285200"/>
    <n v="1315890000"/>
    <b v="0"/>
    <b v="1"/>
    <s v="publishing/translations"/>
    <n v="1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x v="394"/>
    <x v="1"/>
    <s v="USD"/>
    <n v="1443762000"/>
    <n v="1444021200"/>
    <b v="0"/>
    <b v="1"/>
    <s v="film &amp; video/science fiction"/>
    <n v="0.99333333333333329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x v="105"/>
    <x v="1"/>
    <s v="USD"/>
    <n v="1456293600"/>
    <n v="1460005200"/>
    <b v="0"/>
    <b v="0"/>
    <s v="theater/plays"/>
    <n v="0.37344827586206897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x v="395"/>
    <x v="1"/>
    <s v="USD"/>
    <n v="1470114000"/>
    <n v="1470718800"/>
    <b v="0"/>
    <b v="0"/>
    <s v="theater/plays"/>
    <n v="9.6961063627730298E-3"/>
    <n v="104.03228962818004"/>
    <x v="3"/>
    <s v="plays"/>
    <x v="523"/>
    <d v="2016-08-09T05:00:00"/>
  </r>
  <r>
    <n v="560"/>
    <s v="Hunt LLC"/>
    <s v="Re-engineered radical policy"/>
    <n v="20000"/>
    <n v="158832"/>
    <x v="1"/>
    <x v="396"/>
    <x v="1"/>
    <s v="USD"/>
    <n v="1321596000"/>
    <n v="1325052000"/>
    <b v="0"/>
    <b v="0"/>
    <s v="film &amp; video/animation"/>
    <n v="6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x v="40"/>
    <x v="5"/>
    <s v="CHF"/>
    <n v="1318827600"/>
    <n v="1319000400"/>
    <b v="0"/>
    <b v="0"/>
    <s v="theater/plays"/>
    <n v="2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x v="150"/>
    <x v="5"/>
    <s v="CHF"/>
    <n v="1552366800"/>
    <n v="1552539600"/>
    <b v="0"/>
    <b v="0"/>
    <s v="music/rock"/>
    <n v="-0.87181818181818183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x v="72"/>
    <x v="2"/>
    <s v="AUD"/>
    <n v="1542088800"/>
    <n v="1543816800"/>
    <b v="0"/>
    <b v="0"/>
    <s v="film &amp; video/documentary"/>
    <n v="0.38027027027027027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x v="397"/>
    <x v="1"/>
    <s v="USD"/>
    <n v="1426395600"/>
    <n v="1427086800"/>
    <b v="0"/>
    <b v="0"/>
    <s v="theater/plays"/>
    <n v="-0.16186721991701244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x v="398"/>
    <x v="1"/>
    <s v="USD"/>
    <n v="1321336800"/>
    <n v="1323064800"/>
    <b v="0"/>
    <b v="0"/>
    <s v="theater/plays"/>
    <n v="1.0460063224446785"/>
    <n v="53.99499443826474"/>
    <x v="3"/>
    <s v="plays"/>
    <x v="528"/>
    <d v="2011-12-05T06:00:00"/>
  </r>
  <r>
    <n v="566"/>
    <s v="Webb-Smith"/>
    <s v="Advanced content-based installation"/>
    <n v="9300"/>
    <n v="4124"/>
    <x v="0"/>
    <x v="95"/>
    <x v="1"/>
    <s v="USD"/>
    <n v="1456293600"/>
    <n v="1458277200"/>
    <b v="0"/>
    <b v="1"/>
    <s v="music/electric music"/>
    <n v="-0.5565591397849462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x v="146"/>
    <x v="1"/>
    <s v="USD"/>
    <n v="1404968400"/>
    <n v="1405141200"/>
    <b v="0"/>
    <b v="0"/>
    <s v="music/rock"/>
    <n v="1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x v="399"/>
    <x v="1"/>
    <s v="USD"/>
    <n v="1279170000"/>
    <n v="1283058000"/>
    <b v="0"/>
    <b v="0"/>
    <s v="theater/plays"/>
    <n v="0.86033149171270717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x v="400"/>
    <x v="6"/>
    <s v="EUR"/>
    <n v="1294725600"/>
    <n v="1295762400"/>
    <b v="0"/>
    <b v="0"/>
    <s v="film &amp; video/animation"/>
    <n v="1.3733830845771144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x v="401"/>
    <x v="1"/>
    <s v="USD"/>
    <n v="1419055200"/>
    <n v="1419573600"/>
    <b v="0"/>
    <b v="1"/>
    <s v="music/rock"/>
    <n v="2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x v="164"/>
    <x v="6"/>
    <s v="EUR"/>
    <n v="1434690000"/>
    <n v="1438750800"/>
    <b v="0"/>
    <b v="0"/>
    <s v="film &amp; video/shorts"/>
    <n v="-5.8571428571428573E-2"/>
    <n v="94.142857142857139"/>
    <x v="4"/>
    <s v="shorts"/>
    <x v="532"/>
    <d v="2015-08-05T05:00:00"/>
  </r>
  <r>
    <n v="572"/>
    <s v="Clements Group"/>
    <s v="Assimilated actuating policy"/>
    <n v="9000"/>
    <n v="4896"/>
    <x v="3"/>
    <x v="115"/>
    <x v="1"/>
    <s v="USD"/>
    <n v="1443416400"/>
    <n v="1444798800"/>
    <b v="0"/>
    <b v="1"/>
    <s v="music/rock"/>
    <n v="-0.45600000000000002"/>
    <n v="52.085106382978722"/>
    <x v="1"/>
    <s v="rock"/>
    <x v="533"/>
    <d v="2015-10-14T05:00:00"/>
  </r>
  <r>
    <n v="573"/>
    <s v="Valenzuela-Cook"/>
    <s v="Total incremental productivity"/>
    <n v="6700"/>
    <n v="7496"/>
    <x v="1"/>
    <x v="402"/>
    <x v="1"/>
    <s v="USD"/>
    <n v="1399006800"/>
    <n v="1399179600"/>
    <b v="0"/>
    <b v="0"/>
    <s v="journalism/audio"/>
    <n v="0.11880597014925373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x v="358"/>
    <x v="1"/>
    <s v="USD"/>
    <n v="1575698400"/>
    <n v="1576562400"/>
    <b v="0"/>
    <b v="1"/>
    <s v="food/food trucks"/>
    <n v="2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x v="21"/>
    <x v="1"/>
    <s v="USD"/>
    <n v="1400562000"/>
    <n v="1400821200"/>
    <b v="0"/>
    <b v="1"/>
    <s v="theater/plays"/>
    <n v="-0.3706962785114045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x v="251"/>
    <x v="1"/>
    <s v="USD"/>
    <n v="1509512400"/>
    <n v="1510984800"/>
    <b v="0"/>
    <b v="0"/>
    <s v="theater/plays"/>
    <n v="-0.3507216494845361"/>
    <n v="98.40625"/>
    <x v="3"/>
    <s v="plays"/>
    <x v="535"/>
    <d v="2017-11-18T06:00:00"/>
  </r>
  <r>
    <n v="577"/>
    <s v="Stevens Inc"/>
    <s v="Adaptive 24hour projection"/>
    <n v="8200"/>
    <n v="1546"/>
    <x v="3"/>
    <x v="95"/>
    <x v="1"/>
    <s v="USD"/>
    <n v="1299823200"/>
    <n v="1302066000"/>
    <b v="0"/>
    <b v="0"/>
    <s v="music/jazz"/>
    <n v="-0.8114634146341464"/>
    <n v="41.783783783783782"/>
    <x v="1"/>
    <s v="jazz"/>
    <x v="536"/>
    <d v="2011-04-06T05:00:00"/>
  </r>
  <r>
    <n v="578"/>
    <s v="Martinez-Johnson"/>
    <s v="Sharable radical toolset"/>
    <n v="96500"/>
    <n v="16168"/>
    <x v="0"/>
    <x v="242"/>
    <x v="1"/>
    <s v="USD"/>
    <n v="1322719200"/>
    <n v="1322978400"/>
    <b v="0"/>
    <b v="0"/>
    <s v="film &amp; video/science fiction"/>
    <n v="-0.83245595854922283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x v="215"/>
    <x v="1"/>
    <s v="USD"/>
    <n v="1312693200"/>
    <n v="1313730000"/>
    <b v="0"/>
    <b v="0"/>
    <s v="music/jazz"/>
    <n v="1.1129032258064516E-2"/>
    <n v="72.05747126436782"/>
    <x v="1"/>
    <s v="jazz"/>
    <x v="538"/>
    <d v="2011-08-19T05:00:00"/>
  </r>
  <r>
    <n v="580"/>
    <s v="Perez PLC"/>
    <s v="Seamless 6thgeneration extranet"/>
    <n v="43800"/>
    <n v="149578"/>
    <x v="1"/>
    <x v="403"/>
    <x v="1"/>
    <s v="USD"/>
    <n v="1393394400"/>
    <n v="1394085600"/>
    <b v="0"/>
    <b v="0"/>
    <s v="theater/plays"/>
    <n v="2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x v="83"/>
    <x v="1"/>
    <s v="USD"/>
    <n v="1304053200"/>
    <n v="1305349200"/>
    <b v="0"/>
    <b v="0"/>
    <s v="technology/web"/>
    <n v="-0.35983333333333334"/>
    <n v="54.098591549295776"/>
    <x v="2"/>
    <s v="web"/>
    <x v="540"/>
    <d v="2011-05-14T05:00:00"/>
  </r>
  <r>
    <n v="582"/>
    <s v="Pineda Ltd"/>
    <s v="Cross-group global system engine"/>
    <n v="8700"/>
    <n v="4531"/>
    <x v="0"/>
    <x v="344"/>
    <x v="1"/>
    <s v="USD"/>
    <n v="1433912400"/>
    <n v="1434344400"/>
    <b v="0"/>
    <b v="1"/>
    <s v="games/video games"/>
    <n v="-0.47919540229885055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x v="404"/>
    <x v="1"/>
    <s v="USD"/>
    <n v="1329717600"/>
    <n v="1331186400"/>
    <b v="0"/>
    <b v="0"/>
    <s v="film &amp; video/documentary"/>
    <n v="2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x v="405"/>
    <x v="1"/>
    <s v="USD"/>
    <n v="1335330000"/>
    <n v="1336539600"/>
    <b v="0"/>
    <b v="0"/>
    <s v="technology/web"/>
    <n v="0.19508101851851853"/>
    <n v="64.01425914445133"/>
    <x v="2"/>
    <s v="web"/>
    <x v="542"/>
    <d v="2012-05-09T05:00:00"/>
  </r>
  <r>
    <n v="585"/>
    <s v="Pugh LLC"/>
    <s v="Reactive analyzing function"/>
    <n v="8900"/>
    <n v="13065"/>
    <x v="1"/>
    <x v="158"/>
    <x v="1"/>
    <s v="USD"/>
    <n v="1268888400"/>
    <n v="1269752400"/>
    <b v="0"/>
    <b v="0"/>
    <s v="publishing/translations"/>
    <n v="0.46797752808988763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x v="406"/>
    <x v="1"/>
    <s v="USD"/>
    <n v="1289973600"/>
    <n v="1291615200"/>
    <b v="0"/>
    <b v="0"/>
    <s v="music/rock"/>
    <n v="8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x v="388"/>
    <x v="0"/>
    <s v="CAD"/>
    <n v="1547877600"/>
    <n v="1552366800"/>
    <b v="0"/>
    <b v="1"/>
    <s v="food/food trucks"/>
    <n v="-0.27106382978723403"/>
    <n v="43.92307692307692"/>
    <x v="0"/>
    <s v="food trucks"/>
    <x v="35"/>
    <d v="2019-03-12T05:00:00"/>
  </r>
  <r>
    <n v="588"/>
    <s v="Weber Inc"/>
    <s v="Up-sized discrete firmware"/>
    <n v="157600"/>
    <n v="124517"/>
    <x v="0"/>
    <x v="407"/>
    <x v="4"/>
    <s v="GBP"/>
    <n v="1269493200"/>
    <n v="1272171600"/>
    <b v="0"/>
    <b v="0"/>
    <s v="theater/plays"/>
    <n v="-0.20991751269035533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x v="408"/>
    <x v="1"/>
    <s v="USD"/>
    <n v="1436072400"/>
    <n v="1436677200"/>
    <b v="0"/>
    <b v="0"/>
    <s v="film &amp; video/documentary"/>
    <n v="-0.3527848101265823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x v="99"/>
    <x v="2"/>
    <s v="AUD"/>
    <n v="1419141600"/>
    <n v="1420092000"/>
    <b v="0"/>
    <b v="0"/>
    <s v="publishing/radio &amp; podcasts"/>
    <n v="-0.17971830985915493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x v="408"/>
    <x v="1"/>
    <s v="USD"/>
    <n v="1279083600"/>
    <n v="1279947600"/>
    <b v="0"/>
    <b v="0"/>
    <s v="games/video games"/>
    <n v="9.3766666666666669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x v="259"/>
    <x v="1"/>
    <s v="USD"/>
    <n v="1401426000"/>
    <n v="1402203600"/>
    <b v="0"/>
    <b v="0"/>
    <s v="theater/plays"/>
    <n v="-0.87089923469387753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x v="409"/>
    <x v="1"/>
    <s v="USD"/>
    <n v="1395810000"/>
    <n v="1396933200"/>
    <b v="0"/>
    <b v="0"/>
    <s v="film &amp; video/animation"/>
    <n v="0.54842105263157892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x v="144"/>
    <x v="1"/>
    <s v="USD"/>
    <n v="1467003600"/>
    <n v="1467262800"/>
    <b v="0"/>
    <b v="1"/>
    <s v="theater/plays"/>
    <n v="-0.92900826446280993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x v="410"/>
    <x v="1"/>
    <s v="USD"/>
    <n v="1268715600"/>
    <n v="1270530000"/>
    <b v="0"/>
    <b v="1"/>
    <s v="theater/plays"/>
    <n v="1.0852773826458038"/>
    <n v="89.99079189686924"/>
    <x v="3"/>
    <s v="plays"/>
    <x v="551"/>
    <d v="2010-04-06T05:00:00"/>
  </r>
  <r>
    <n v="596"/>
    <s v="Becker-Scott"/>
    <s v="Managed optimizing archive"/>
    <n v="7900"/>
    <n v="7875"/>
    <x v="0"/>
    <x v="236"/>
    <x v="1"/>
    <s v="USD"/>
    <n v="1457157600"/>
    <n v="1457762400"/>
    <b v="0"/>
    <b v="1"/>
    <s v="film &amp; video/drama"/>
    <n v="-3.1645569620253164E-3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x v="411"/>
    <x v="1"/>
    <s v="USD"/>
    <n v="1573970400"/>
    <n v="1575525600"/>
    <b v="0"/>
    <b v="0"/>
    <s v="theater/plays"/>
    <n v="1.0159756097560975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x v="412"/>
    <x v="6"/>
    <s v="EUR"/>
    <n v="1276578000"/>
    <n v="1279083600"/>
    <b v="0"/>
    <b v="0"/>
    <s v="music/rock"/>
    <n v="0.62090322580645163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x v="172"/>
    <x v="3"/>
    <s v="DKK"/>
    <n v="1423720800"/>
    <n v="1424412000"/>
    <b v="0"/>
    <b v="0"/>
    <s v="film &amp; video/documentary"/>
    <n v="-0.96356379187455454"/>
    <n v="62.341463414634148"/>
    <x v="4"/>
    <s v="documentary"/>
    <x v="554"/>
    <d v="2015-02-20T06:00:00"/>
  </r>
  <r>
    <n v="600"/>
    <s v="Brown-George"/>
    <s v="Cross-platform tertiary array"/>
    <n v="100"/>
    <n v="5"/>
    <x v="0"/>
    <x v="49"/>
    <x v="4"/>
    <s v="GBP"/>
    <n v="1375160400"/>
    <n v="1376197200"/>
    <b v="0"/>
    <b v="0"/>
    <s v="food/food trucks"/>
    <n v="-0.95"/>
    <n v="5"/>
    <x v="0"/>
    <s v="food trucks"/>
    <x v="555"/>
    <d v="2013-08-11T05:00:00"/>
  </r>
  <r>
    <n v="601"/>
    <s v="Waters and Sons"/>
    <s v="Inverse neutral structure"/>
    <n v="6300"/>
    <n v="13018"/>
    <x v="1"/>
    <x v="346"/>
    <x v="1"/>
    <s v="USD"/>
    <n v="1401426000"/>
    <n v="1402894800"/>
    <b v="1"/>
    <b v="0"/>
    <s v="technology/wearables"/>
    <n v="1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x v="413"/>
    <x v="1"/>
    <s v="USD"/>
    <n v="1433480400"/>
    <n v="1434430800"/>
    <b v="0"/>
    <b v="0"/>
    <s v="theater/plays"/>
    <n v="0.282362869198312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x v="408"/>
    <x v="1"/>
    <s v="USD"/>
    <n v="1555563600"/>
    <n v="1557896400"/>
    <b v="0"/>
    <b v="0"/>
    <s v="theater/plays"/>
    <n v="0.1966037735849056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x v="414"/>
    <x v="1"/>
    <s v="USD"/>
    <n v="1295676000"/>
    <n v="1297490400"/>
    <b v="0"/>
    <b v="0"/>
    <s v="theater/plays"/>
    <n v="0.70730552423900794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x v="37"/>
    <x v="1"/>
    <s v="USD"/>
    <n v="1443848400"/>
    <n v="1447394400"/>
    <b v="0"/>
    <b v="0"/>
    <s v="publishing/nonfiction"/>
    <n v="0.87212121212121207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x v="415"/>
    <x v="4"/>
    <s v="GBP"/>
    <n v="1457330400"/>
    <n v="1458277200"/>
    <b v="0"/>
    <b v="0"/>
    <s v="music/rock"/>
    <n v="0.8838235294117646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x v="416"/>
    <x v="1"/>
    <s v="USD"/>
    <n v="1395550800"/>
    <n v="1395723600"/>
    <b v="0"/>
    <b v="0"/>
    <s v="food/food trucks"/>
    <n v="0.31298691860465117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x v="417"/>
    <x v="1"/>
    <s v="USD"/>
    <n v="1551852000"/>
    <n v="1552197600"/>
    <b v="0"/>
    <b v="1"/>
    <s v="music/jazz"/>
    <n v="1.8397435897435896"/>
    <n v="35.047468354430379"/>
    <x v="1"/>
    <s v="jazz"/>
    <x v="426"/>
    <d v="2019-03-10T06:00:00"/>
  </r>
  <r>
    <n v="609"/>
    <s v="Rose-Fuller"/>
    <s v="Upgradable holistic system engine"/>
    <n v="10000"/>
    <n v="12042"/>
    <x v="1"/>
    <x v="124"/>
    <x v="1"/>
    <s v="USD"/>
    <n v="1547618400"/>
    <n v="1549087200"/>
    <b v="0"/>
    <b v="0"/>
    <s v="film &amp; video/science fiction"/>
    <n v="0.20419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x v="418"/>
    <x v="1"/>
    <s v="USD"/>
    <n v="1355637600"/>
    <n v="1356847200"/>
    <b v="0"/>
    <b v="0"/>
    <s v="theater/plays"/>
    <n v="3.1905607476635516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x v="27"/>
    <x v="1"/>
    <s v="USD"/>
    <n v="1374728400"/>
    <n v="1375765200"/>
    <b v="0"/>
    <b v="0"/>
    <s v="theater/plays"/>
    <n v="-0.86146341463414633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x v="325"/>
    <x v="1"/>
    <s v="USD"/>
    <n v="1287810000"/>
    <n v="1289800800"/>
    <b v="0"/>
    <b v="0"/>
    <s v="music/electric music"/>
    <n v="0.39435483870967741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x v="150"/>
    <x v="0"/>
    <s v="CAD"/>
    <n v="1503723600"/>
    <n v="1504501200"/>
    <b v="0"/>
    <b v="0"/>
    <s v="theater/plays"/>
    <n v="0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x v="419"/>
    <x v="1"/>
    <s v="USD"/>
    <n v="1484114400"/>
    <n v="1485669600"/>
    <b v="0"/>
    <b v="0"/>
    <s v="theater/plays"/>
    <n v="0.5549056603773584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x v="73"/>
    <x v="6"/>
    <s v="EUR"/>
    <n v="1461906000"/>
    <n v="1462770000"/>
    <b v="0"/>
    <b v="0"/>
    <s v="theater/plays"/>
    <n v="0.70447058823529407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x v="202"/>
    <x v="4"/>
    <s v="GBP"/>
    <n v="1379653200"/>
    <n v="1379739600"/>
    <b v="0"/>
    <b v="1"/>
    <s v="music/indie rock"/>
    <n v="0.89515624999999999"/>
    <n v="50.962184873949582"/>
    <x v="1"/>
    <s v="indie rock"/>
    <x v="567"/>
    <d v="2013-09-21T05:00:00"/>
  </r>
  <r>
    <n v="617"/>
    <s v="King LLC"/>
    <s v="Multi-channeled local intranet"/>
    <n v="1400"/>
    <n v="3496"/>
    <x v="1"/>
    <x v="12"/>
    <x v="1"/>
    <s v="USD"/>
    <n v="1401858000"/>
    <n v="1402722000"/>
    <b v="0"/>
    <b v="0"/>
    <s v="theater/plays"/>
    <n v="1.4971428571428571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x v="420"/>
    <x v="1"/>
    <s v="USD"/>
    <n v="1367470800"/>
    <n v="1369285200"/>
    <b v="0"/>
    <b v="0"/>
    <s v="publishing/nonfiction"/>
    <n v="-0.51139476334340384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x v="355"/>
    <x v="1"/>
    <s v="USD"/>
    <n v="1304658000"/>
    <n v="1304744400"/>
    <b v="1"/>
    <b v="1"/>
    <s v="theater/plays"/>
    <n v="-0.71538029606942322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x v="58"/>
    <x v="2"/>
    <s v="AUD"/>
    <n v="1467954000"/>
    <n v="1468299600"/>
    <b v="0"/>
    <b v="0"/>
    <s v="photography/photography books"/>
    <n v="1.680232558139535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x v="421"/>
    <x v="1"/>
    <s v="USD"/>
    <n v="1473742800"/>
    <n v="1474174800"/>
    <b v="0"/>
    <b v="0"/>
    <s v="theater/plays"/>
    <n v="5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x v="251"/>
    <x v="1"/>
    <s v="USD"/>
    <n v="1523768400"/>
    <n v="1526014800"/>
    <b v="0"/>
    <b v="0"/>
    <s v="music/indie rock"/>
    <n v="-0.96869841269841273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x v="422"/>
    <x v="4"/>
    <s v="GBP"/>
    <n v="1437022800"/>
    <n v="1437454800"/>
    <b v="0"/>
    <b v="0"/>
    <s v="theater/plays"/>
    <n v="0.5992152704135737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x v="423"/>
    <x v="1"/>
    <s v="USD"/>
    <n v="1422165600"/>
    <n v="1422684000"/>
    <b v="0"/>
    <b v="0"/>
    <s v="photography/photography books"/>
    <n v="1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x v="197"/>
    <x v="1"/>
    <s v="USD"/>
    <n v="1580104800"/>
    <n v="1581314400"/>
    <b v="0"/>
    <b v="0"/>
    <s v="theater/plays"/>
    <n v="-0.22626666666666667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x v="288"/>
    <x v="1"/>
    <s v="USD"/>
    <n v="1285650000"/>
    <n v="1286427600"/>
    <b v="0"/>
    <b v="1"/>
    <s v="theater/plays"/>
    <n v="1.06328125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x v="110"/>
    <x v="4"/>
    <s v="GBP"/>
    <n v="1276664400"/>
    <n v="1278738000"/>
    <b v="1"/>
    <b v="0"/>
    <s v="food/food trucks"/>
    <n v="5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x v="87"/>
    <x v="1"/>
    <s v="USD"/>
    <n v="1286168400"/>
    <n v="1286427600"/>
    <b v="0"/>
    <b v="0"/>
    <s v="music/indie rock"/>
    <n v="0.5178947368421053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x v="424"/>
    <x v="1"/>
    <s v="USD"/>
    <n v="1467781200"/>
    <n v="1467954000"/>
    <b v="0"/>
    <b v="1"/>
    <s v="theater/plays"/>
    <n v="-0.3541792782305006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x v="215"/>
    <x v="1"/>
    <s v="USD"/>
    <n v="1556686800"/>
    <n v="1557637200"/>
    <b v="0"/>
    <b v="1"/>
    <s v="theater/plays"/>
    <n v="-0.3712631578947368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x v="425"/>
    <x v="1"/>
    <s v="USD"/>
    <n v="1553576400"/>
    <n v="1553922000"/>
    <b v="0"/>
    <b v="0"/>
    <s v="theater/plays"/>
    <n v="2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x v="426"/>
    <x v="1"/>
    <s v="USD"/>
    <n v="1414904400"/>
    <n v="1416463200"/>
    <b v="0"/>
    <b v="0"/>
    <s v="theater/plays"/>
    <n v="-0.5714008321775312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x v="339"/>
    <x v="1"/>
    <s v="USD"/>
    <n v="1446876000"/>
    <n v="1447221600"/>
    <b v="0"/>
    <b v="0"/>
    <s v="film &amp; video/animation"/>
    <n v="-0.16880597014925372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x v="427"/>
    <x v="1"/>
    <s v="USD"/>
    <n v="1490418000"/>
    <n v="1491627600"/>
    <b v="0"/>
    <b v="0"/>
    <s v="film &amp; video/television"/>
    <n v="-0.21468697123519459"/>
    <n v="55.985524728588658"/>
    <x v="4"/>
    <s v="television"/>
    <x v="583"/>
    <d v="2017-04-08T05:00:00"/>
  </r>
  <r>
    <n v="635"/>
    <s v="Mack Ltd"/>
    <s v="Reactive regional access"/>
    <n v="139000"/>
    <n v="158590"/>
    <x v="1"/>
    <x v="428"/>
    <x v="1"/>
    <s v="USD"/>
    <n v="1360389600"/>
    <n v="1363150800"/>
    <b v="0"/>
    <b v="0"/>
    <s v="film &amp; video/television"/>
    <n v="0.14093525179856115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x v="429"/>
    <x v="3"/>
    <s v="DKK"/>
    <n v="1326866400"/>
    <n v="1330754400"/>
    <b v="0"/>
    <b v="1"/>
    <s v="film &amp; video/animation"/>
    <n v="-0.35462316641375824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x v="167"/>
    <x v="1"/>
    <s v="USD"/>
    <n v="1479103200"/>
    <n v="1479794400"/>
    <b v="0"/>
    <b v="0"/>
    <s v="theater/plays"/>
    <n v="-0.20588235294117646"/>
    <n v="103.84615384615384"/>
    <x v="3"/>
    <s v="plays"/>
    <x v="586"/>
    <d v="2016-11-22T06:00:00"/>
  </r>
  <r>
    <n v="638"/>
    <s v="Weaver Ltd"/>
    <s v="Monitored 24/7 approach"/>
    <n v="81600"/>
    <n v="9318"/>
    <x v="0"/>
    <x v="115"/>
    <x v="1"/>
    <s v="USD"/>
    <n v="1280206800"/>
    <n v="1281243600"/>
    <b v="0"/>
    <b v="1"/>
    <s v="theater/plays"/>
    <n v="-0.88580882352941182"/>
    <n v="99.127659574468083"/>
    <x v="3"/>
    <s v="plays"/>
    <x v="587"/>
    <d v="2010-08-08T05:00:00"/>
  </r>
  <r>
    <n v="639"/>
    <s v="Barnes-Williams"/>
    <s v="Upgradable explicit forecast"/>
    <n v="8600"/>
    <n v="4832"/>
    <x v="2"/>
    <x v="430"/>
    <x v="1"/>
    <s v="USD"/>
    <n v="1532754000"/>
    <n v="1532754000"/>
    <b v="0"/>
    <b v="1"/>
    <s v="film &amp; video/drama"/>
    <n v="-0.43813953488372093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x v="431"/>
    <x v="1"/>
    <s v="USD"/>
    <n v="1453096800"/>
    <n v="1453356000"/>
    <b v="0"/>
    <b v="0"/>
    <s v="theater/plays"/>
    <n v="-0.83498330550918198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x v="346"/>
    <x v="5"/>
    <s v="CHF"/>
    <n v="1487570400"/>
    <n v="1489986000"/>
    <b v="0"/>
    <b v="0"/>
    <s v="theater/plays"/>
    <n v="0.1996808510638298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x v="30"/>
    <x v="0"/>
    <s v="CAD"/>
    <n v="1545026400"/>
    <n v="1545804000"/>
    <b v="0"/>
    <b v="0"/>
    <s v="technology/wearables"/>
    <n v="0.4545652173913043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x v="432"/>
    <x v="1"/>
    <s v="USD"/>
    <n v="1488348000"/>
    <n v="1489899600"/>
    <b v="0"/>
    <b v="0"/>
    <s v="theater/plays"/>
    <n v="1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x v="433"/>
    <x v="0"/>
    <s v="CAD"/>
    <n v="1545112800"/>
    <n v="1546495200"/>
    <b v="0"/>
    <b v="0"/>
    <s v="theater/plays"/>
    <n v="-0.5160330578512396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x v="434"/>
    <x v="1"/>
    <s v="USD"/>
    <n v="1537938000"/>
    <n v="1539752400"/>
    <b v="0"/>
    <b v="1"/>
    <s v="music/rock"/>
    <n v="-7.0884955752212389E-2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x v="435"/>
    <x v="1"/>
    <s v="USD"/>
    <n v="1363150800"/>
    <n v="1364101200"/>
    <b v="0"/>
    <b v="0"/>
    <s v="games/video games"/>
    <n v="-0.1140020263424518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x v="6"/>
    <x v="1"/>
    <s v="USD"/>
    <n v="1523250000"/>
    <n v="1525323600"/>
    <b v="0"/>
    <b v="0"/>
    <s v="publishing/translations"/>
    <n v="-0.58599999999999997"/>
    <n v="103.5"/>
    <x v="5"/>
    <s v="translations"/>
    <x v="596"/>
    <d v="2018-05-03T05:00:00"/>
  </r>
  <r>
    <n v="648"/>
    <s v="Vargas-Cox"/>
    <s v="Vision-oriented local contingency"/>
    <n v="98600"/>
    <n v="62174"/>
    <x v="3"/>
    <x v="419"/>
    <x v="1"/>
    <s v="USD"/>
    <n v="1499317200"/>
    <n v="1500872400"/>
    <b v="1"/>
    <b v="0"/>
    <s v="food/food trucks"/>
    <n v="-0.3694320486815415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x v="436"/>
    <x v="5"/>
    <s v="CHF"/>
    <n v="1287550800"/>
    <n v="1288501200"/>
    <b v="1"/>
    <b v="1"/>
    <s v="theater/plays"/>
    <n v="-0.51517666392769101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x v="49"/>
    <x v="1"/>
    <s v="USD"/>
    <n v="1404795600"/>
    <n v="1407128400"/>
    <b v="0"/>
    <b v="0"/>
    <s v="music/jazz"/>
    <n v="-0.98"/>
    <n v="2"/>
    <x v="1"/>
    <s v="jazz"/>
    <x v="599"/>
    <d v="2014-08-04T05:00:00"/>
  </r>
  <r>
    <n v="651"/>
    <s v="Wang, Koch and Weaver"/>
    <s v="Digitized analyzing capacity"/>
    <n v="196700"/>
    <n v="174039"/>
    <x v="0"/>
    <x v="437"/>
    <x v="6"/>
    <s v="EUR"/>
    <n v="1393048800"/>
    <n v="1394344800"/>
    <b v="0"/>
    <b v="0"/>
    <s v="film &amp; video/shorts"/>
    <n v="-0.11520589730554143"/>
    <n v="44.994570837642193"/>
    <x v="4"/>
    <s v="shorts"/>
    <x v="600"/>
    <d v="2014-03-09T06:00:00"/>
  </r>
  <r>
    <n v="652"/>
    <s v="Cisneros Ltd"/>
    <s v="Vision-oriented regional hub"/>
    <n v="10000"/>
    <n v="12684"/>
    <x v="1"/>
    <x v="438"/>
    <x v="1"/>
    <s v="USD"/>
    <n v="1470373200"/>
    <n v="1474088400"/>
    <b v="0"/>
    <b v="0"/>
    <s v="technology/web"/>
    <n v="0.26840000000000003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x v="439"/>
    <x v="1"/>
    <s v="USD"/>
    <n v="1460091600"/>
    <n v="1460264400"/>
    <b v="0"/>
    <b v="0"/>
    <s v="technology/web"/>
    <n v="22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x v="440"/>
    <x v="1"/>
    <s v="USD"/>
    <n v="1440392400"/>
    <n v="1440824400"/>
    <b v="0"/>
    <b v="0"/>
    <s v="music/metal"/>
    <n v="4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x v="441"/>
    <x v="1"/>
    <s v="USD"/>
    <n v="1488434400"/>
    <n v="1489554000"/>
    <b v="1"/>
    <b v="0"/>
    <s v="photography/photography books"/>
    <n v="0.91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x v="442"/>
    <x v="2"/>
    <s v="AUD"/>
    <n v="1514440800"/>
    <n v="1514872800"/>
    <b v="0"/>
    <b v="0"/>
    <s v="food/food trucks"/>
    <n v="-0.5787246621621621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x v="443"/>
    <x v="1"/>
    <s v="USD"/>
    <n v="1514354400"/>
    <n v="1515736800"/>
    <b v="0"/>
    <b v="0"/>
    <s v="film &amp; video/science fiction"/>
    <n v="-0.91759999999999997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x v="444"/>
    <x v="1"/>
    <s v="USD"/>
    <n v="1440910800"/>
    <n v="1442898000"/>
    <b v="0"/>
    <b v="0"/>
    <s v="music/rock"/>
    <n v="-0.39935361216730036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x v="424"/>
    <x v="4"/>
    <s v="GBP"/>
    <n v="1296108000"/>
    <n v="1296194400"/>
    <b v="0"/>
    <b v="0"/>
    <s v="film &amp; video/documentary"/>
    <n v="-0.52767191383595691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x v="385"/>
    <x v="1"/>
    <s v="USD"/>
    <n v="1440133200"/>
    <n v="1440910800"/>
    <b v="1"/>
    <b v="0"/>
    <s v="theater/plays"/>
    <n v="-0.18263736263736263"/>
    <n v="96.597402597402592"/>
    <x v="3"/>
    <s v="plays"/>
    <x v="607"/>
    <d v="2015-08-30T05:00:00"/>
  </r>
  <r>
    <n v="661"/>
    <s v="Smith Group"/>
    <s v="Right-sized secondary challenge"/>
    <n v="106800"/>
    <n v="57872"/>
    <x v="0"/>
    <x v="445"/>
    <x v="3"/>
    <s v="DKK"/>
    <n v="1332910800"/>
    <n v="1335502800"/>
    <b v="0"/>
    <b v="0"/>
    <s v="music/jazz"/>
    <n v="-0.45812734082397005"/>
    <n v="76.957446808510639"/>
    <x v="1"/>
    <s v="jazz"/>
    <x v="608"/>
    <d v="2012-04-27T05:00:00"/>
  </r>
  <r>
    <n v="662"/>
    <s v="Murphy-Farrell"/>
    <s v="Implemented exuding software"/>
    <n v="9100"/>
    <n v="8906"/>
    <x v="0"/>
    <x v="54"/>
    <x v="1"/>
    <s v="USD"/>
    <n v="1544335200"/>
    <n v="1544680800"/>
    <b v="0"/>
    <b v="0"/>
    <s v="theater/plays"/>
    <n v="-2.131868131868132E-2"/>
    <n v="67.984732824427482"/>
    <x v="3"/>
    <s v="plays"/>
    <x v="609"/>
    <d v="2018-12-13T06:00:00"/>
  </r>
  <r>
    <n v="663"/>
    <s v="Everett-Wolfe"/>
    <s v="Total optimizing software"/>
    <n v="10000"/>
    <n v="7724"/>
    <x v="0"/>
    <x v="215"/>
    <x v="1"/>
    <s v="USD"/>
    <n v="1286427600"/>
    <n v="1288414800"/>
    <b v="0"/>
    <b v="0"/>
    <s v="theater/plays"/>
    <n v="-0.2276"/>
    <n v="88.781609195402297"/>
    <x v="3"/>
    <s v="plays"/>
    <x v="610"/>
    <d v="2010-10-30T05:00:00"/>
  </r>
  <r>
    <n v="664"/>
    <s v="Young PLC"/>
    <s v="Optional maximized attitude"/>
    <n v="79400"/>
    <n v="26571"/>
    <x v="0"/>
    <x v="446"/>
    <x v="1"/>
    <s v="USD"/>
    <n v="1329717600"/>
    <n v="1330581600"/>
    <b v="0"/>
    <b v="0"/>
    <s v="music/jazz"/>
    <n v="-0.66535264483627199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x v="447"/>
    <x v="1"/>
    <s v="USD"/>
    <n v="1310187600"/>
    <n v="1311397200"/>
    <b v="0"/>
    <b v="1"/>
    <s v="film &amp; video/documentary"/>
    <n v="1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x v="270"/>
    <x v="1"/>
    <s v="USD"/>
    <n v="1377838800"/>
    <n v="1378357200"/>
    <b v="0"/>
    <b v="1"/>
    <s v="theater/plays"/>
    <n v="-0.35967741935483871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x v="448"/>
    <x v="1"/>
    <s v="USD"/>
    <n v="1410325200"/>
    <n v="1411102800"/>
    <b v="0"/>
    <b v="0"/>
    <s v="journalism/audio"/>
    <n v="0.76159420289855073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x v="70"/>
    <x v="1"/>
    <s v="USD"/>
    <n v="1343797200"/>
    <n v="1344834000"/>
    <b v="0"/>
    <b v="0"/>
    <s v="theater/plays"/>
    <n v="-0.79661818181818178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x v="449"/>
    <x v="6"/>
    <s v="EUR"/>
    <n v="1498453200"/>
    <n v="1499230800"/>
    <b v="0"/>
    <b v="0"/>
    <s v="theater/plays"/>
    <n v="2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x v="450"/>
    <x v="1"/>
    <s v="USD"/>
    <n v="1456380000"/>
    <n v="1457416800"/>
    <b v="0"/>
    <b v="0"/>
    <s v="music/indie rock"/>
    <n v="3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x v="451"/>
    <x v="1"/>
    <s v="USD"/>
    <n v="1280552400"/>
    <n v="1280898000"/>
    <b v="0"/>
    <b v="1"/>
    <s v="theater/plays"/>
    <n v="0.22056352459016393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x v="452"/>
    <x v="2"/>
    <s v="AUD"/>
    <n v="1521608400"/>
    <n v="1522472400"/>
    <b v="0"/>
    <b v="0"/>
    <s v="theater/plays"/>
    <n v="-0.44068216270843863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x v="125"/>
    <x v="6"/>
    <s v="EUR"/>
    <n v="1460696400"/>
    <n v="1462510800"/>
    <b v="0"/>
    <b v="0"/>
    <s v="music/indie rock"/>
    <n v="-0.56339285714285714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x v="453"/>
    <x v="1"/>
    <s v="USD"/>
    <n v="1313730000"/>
    <n v="1317790800"/>
    <b v="0"/>
    <b v="0"/>
    <s v="photography/photography books"/>
    <n v="-0.66461628588166377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x v="269"/>
    <x v="1"/>
    <s v="USD"/>
    <n v="1568178000"/>
    <n v="1568782800"/>
    <b v="0"/>
    <b v="0"/>
    <s v="journalism/audio"/>
    <n v="0.22979381443298968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x v="454"/>
    <x v="1"/>
    <s v="USD"/>
    <n v="1348635600"/>
    <n v="1349413200"/>
    <b v="0"/>
    <b v="0"/>
    <s v="photography/photography books"/>
    <n v="0.8974959871589085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x v="41"/>
    <x v="1"/>
    <s v="USD"/>
    <n v="1468126800"/>
    <n v="1472446800"/>
    <b v="0"/>
    <b v="0"/>
    <s v="publishing/fiction"/>
    <n v="-0.16377358490566038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x v="455"/>
    <x v="1"/>
    <s v="USD"/>
    <n v="1547877600"/>
    <n v="1548050400"/>
    <b v="0"/>
    <b v="0"/>
    <s v="film &amp; video/drama"/>
    <n v="-0.82031155778894471"/>
    <n v="83.158139534883716"/>
    <x v="4"/>
    <s v="drama"/>
    <x v="35"/>
    <d v="2019-01-21T06:00:00"/>
  </r>
  <r>
    <n v="679"/>
    <s v="Davis Ltd"/>
    <s v="Synchronized motivating solution"/>
    <n v="1400"/>
    <n v="14511"/>
    <x v="1"/>
    <x v="456"/>
    <x v="1"/>
    <s v="USD"/>
    <n v="1571374800"/>
    <n v="1571806800"/>
    <b v="0"/>
    <b v="1"/>
    <s v="food/food trucks"/>
    <n v="9.3650000000000002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x v="457"/>
    <x v="1"/>
    <s v="USD"/>
    <n v="1576303200"/>
    <n v="1576476000"/>
    <b v="0"/>
    <b v="1"/>
    <s v="games/mobile games"/>
    <n v="-2.5947802197802197E-2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x v="458"/>
    <x v="1"/>
    <s v="USD"/>
    <n v="1324447200"/>
    <n v="1324965600"/>
    <b v="0"/>
    <b v="0"/>
    <s v="theater/plays"/>
    <n v="-0.1361379684953829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x v="459"/>
    <x v="1"/>
    <s v="USD"/>
    <n v="1386741600"/>
    <n v="1387519200"/>
    <b v="0"/>
    <b v="0"/>
    <s v="theater/plays"/>
    <n v="0.50166666666666671"/>
    <n v="78.728155339805824"/>
    <x v="3"/>
    <s v="plays"/>
    <x v="626"/>
    <d v="2013-12-20T06:00:00"/>
  </r>
  <r>
    <n v="683"/>
    <s v="Jones PLC"/>
    <s v="Virtual systemic intranet"/>
    <n v="2300"/>
    <n v="8244"/>
    <x v="1"/>
    <x v="98"/>
    <x v="1"/>
    <s v="USD"/>
    <n v="1537074000"/>
    <n v="1537246800"/>
    <b v="0"/>
    <b v="0"/>
    <s v="theater/plays"/>
    <n v="2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x v="460"/>
    <x v="0"/>
    <s v="CAD"/>
    <n v="1277787600"/>
    <n v="1279515600"/>
    <b v="0"/>
    <b v="0"/>
    <s v="publishing/nonfiction"/>
    <n v="4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x v="461"/>
    <x v="0"/>
    <s v="CAD"/>
    <n v="1440306000"/>
    <n v="1442379600"/>
    <b v="0"/>
    <b v="0"/>
    <s v="theater/plays"/>
    <n v="-0.32499285714285714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x v="38"/>
    <x v="1"/>
    <s v="USD"/>
    <n v="1522126800"/>
    <n v="1523077200"/>
    <b v="0"/>
    <b v="0"/>
    <s v="technology/wearables"/>
    <n v="0.91746666666666665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x v="462"/>
    <x v="1"/>
    <s v="USD"/>
    <n v="1489298400"/>
    <n v="1489554000"/>
    <b v="0"/>
    <b v="0"/>
    <s v="theater/plays"/>
    <n v="8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x v="463"/>
    <x v="1"/>
    <s v="USD"/>
    <n v="1547100000"/>
    <n v="1548482400"/>
    <b v="0"/>
    <b v="1"/>
    <s v="film &amp; video/television"/>
    <n v="3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x v="464"/>
    <x v="1"/>
    <s v="USD"/>
    <n v="1383022800"/>
    <n v="1384063200"/>
    <b v="0"/>
    <b v="0"/>
    <s v="technology/web"/>
    <n v="6.5753424657534251E-3"/>
    <n v="106.49275362318841"/>
    <x v="2"/>
    <s v="web"/>
    <x v="633"/>
    <d v="2013-11-10T06:00:00"/>
  </r>
  <r>
    <n v="690"/>
    <s v="Walsh-Watts"/>
    <s v="Polarized actuating implementation"/>
    <n v="3600"/>
    <n v="8158"/>
    <x v="1"/>
    <x v="257"/>
    <x v="1"/>
    <s v="USD"/>
    <n v="1322373600"/>
    <n v="1322892000"/>
    <b v="0"/>
    <b v="1"/>
    <s v="film &amp; video/documentary"/>
    <n v="1.2661111111111112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x v="465"/>
    <x v="1"/>
    <s v="USD"/>
    <n v="1349240400"/>
    <n v="1350709200"/>
    <b v="1"/>
    <b v="1"/>
    <s v="film &amp; video/documentary"/>
    <n v="0.42380000000000001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x v="385"/>
    <x v="4"/>
    <s v="GBP"/>
    <n v="1562648400"/>
    <n v="1564203600"/>
    <b v="0"/>
    <b v="0"/>
    <s v="music/rock"/>
    <n v="-9.3666666666666662E-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x v="466"/>
    <x v="1"/>
    <s v="USD"/>
    <n v="1508216400"/>
    <n v="1509685200"/>
    <b v="0"/>
    <b v="0"/>
    <s v="theater/plays"/>
    <n v="-0.36033259423503328"/>
    <n v="66.016018306636155"/>
    <x v="3"/>
    <s v="plays"/>
    <x v="637"/>
    <d v="2017-11-03T05:00:00"/>
  </r>
  <r>
    <n v="694"/>
    <s v="Mora-Bradley"/>
    <s v="Programmable tangible ability"/>
    <n v="9100"/>
    <n v="7656"/>
    <x v="0"/>
    <x v="467"/>
    <x v="1"/>
    <s v="USD"/>
    <n v="1511762400"/>
    <n v="1514959200"/>
    <b v="0"/>
    <b v="0"/>
    <s v="theater/plays"/>
    <n v="-0.15868131868131868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x v="468"/>
    <x v="6"/>
    <s v="EUR"/>
    <n v="1447480800"/>
    <n v="1448863200"/>
    <b v="1"/>
    <b v="0"/>
    <s v="music/rock"/>
    <n v="0.33934782608695652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x v="469"/>
    <x v="1"/>
    <s v="USD"/>
    <n v="1429506000"/>
    <n v="1429592400"/>
    <b v="0"/>
    <b v="1"/>
    <s v="theater/plays"/>
    <n v="-0.4095795246800731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x v="470"/>
    <x v="1"/>
    <s v="USD"/>
    <n v="1522472400"/>
    <n v="1522645200"/>
    <b v="0"/>
    <b v="0"/>
    <s v="music/electric music"/>
    <n v="0.52800620636152051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x v="471"/>
    <x v="0"/>
    <s v="CAD"/>
    <n v="1322114400"/>
    <n v="1323324000"/>
    <b v="0"/>
    <b v="0"/>
    <s v="technology/wearables"/>
    <n v="3.4669121140142516"/>
    <n v="65.004147943311438"/>
    <x v="2"/>
    <s v="wearables"/>
    <x v="642"/>
    <d v="2011-12-08T06:00:00"/>
  </r>
  <r>
    <n v="699"/>
    <s v="King Inc"/>
    <s v="Ergonomic dedicated focus group"/>
    <n v="7400"/>
    <n v="6245"/>
    <x v="0"/>
    <x v="75"/>
    <x v="1"/>
    <s v="USD"/>
    <n v="1561438800"/>
    <n v="1561525200"/>
    <b v="0"/>
    <b v="0"/>
    <s v="film &amp; video/drama"/>
    <n v="-0.15608108108108107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x v="49"/>
    <x v="1"/>
    <s v="USD"/>
    <n v="1264399200"/>
    <n v="1265695200"/>
    <b v="0"/>
    <b v="0"/>
    <s v="technology/wearables"/>
    <n v="-0.97"/>
    <n v="3"/>
    <x v="2"/>
    <s v="wearables"/>
    <x v="67"/>
    <d v="2010-02-09T06:00:00"/>
  </r>
  <r>
    <n v="701"/>
    <s v="Mcclain LLC"/>
    <s v="Open-source multi-tasking methodology"/>
    <n v="52000"/>
    <n v="91014"/>
    <x v="1"/>
    <x v="472"/>
    <x v="1"/>
    <s v="USD"/>
    <n v="1301202000"/>
    <n v="1301806800"/>
    <b v="1"/>
    <b v="0"/>
    <s v="theater/plays"/>
    <n v="0.75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x v="100"/>
    <x v="1"/>
    <s v="USD"/>
    <n v="1374469200"/>
    <n v="1374901200"/>
    <b v="0"/>
    <b v="0"/>
    <s v="technology/wearables"/>
    <n v="-0.45862068965517239"/>
    <n v="56.746987951807228"/>
    <x v="2"/>
    <s v="wearables"/>
    <x v="644"/>
    <d v="2013-07-27T05:00:00"/>
  </r>
  <r>
    <n v="703"/>
    <s v="Perez Group"/>
    <s v="Cross-platform tertiary hub"/>
    <n v="63400"/>
    <n v="197728"/>
    <x v="1"/>
    <x v="473"/>
    <x v="1"/>
    <s v="USD"/>
    <n v="1334984400"/>
    <n v="1336453200"/>
    <b v="1"/>
    <b v="1"/>
    <s v="publishing/translations"/>
    <n v="2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x v="220"/>
    <x v="1"/>
    <s v="USD"/>
    <n v="1467608400"/>
    <n v="1468904400"/>
    <b v="0"/>
    <b v="0"/>
    <s v="film &amp; video/animation"/>
    <n v="0.227816091954023"/>
    <n v="92.08620689655173"/>
    <x v="4"/>
    <s v="animation"/>
    <x v="646"/>
    <d v="2016-07-19T05:00:00"/>
  </r>
  <r>
    <n v="705"/>
    <s v="Ford LLC"/>
    <s v="Centralized tangible success"/>
    <n v="169700"/>
    <n v="168048"/>
    <x v="0"/>
    <x v="474"/>
    <x v="4"/>
    <s v="GBP"/>
    <n v="1386741600"/>
    <n v="1387087200"/>
    <b v="0"/>
    <b v="0"/>
    <s v="publishing/nonfiction"/>
    <n v="-9.7348261638185024E-3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x v="475"/>
    <x v="2"/>
    <s v="AUD"/>
    <n v="1546754400"/>
    <n v="1547445600"/>
    <b v="0"/>
    <b v="1"/>
    <s v="technology/web"/>
    <n v="0.27846863468634686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x v="170"/>
    <x v="1"/>
    <s v="USD"/>
    <n v="1544248800"/>
    <n v="1547359200"/>
    <b v="0"/>
    <b v="0"/>
    <s v="film &amp; video/drama"/>
    <n v="0.5861643835616438"/>
    <n v="68.922619047619051"/>
    <x v="4"/>
    <s v="drama"/>
    <x v="159"/>
    <d v="2019-01-13T06:00:00"/>
  </r>
  <r>
    <n v="708"/>
    <s v="Ortega LLC"/>
    <s v="Secured bifurcated intranet"/>
    <n v="1700"/>
    <n v="12020"/>
    <x v="1"/>
    <x v="231"/>
    <x v="5"/>
    <s v="CHF"/>
    <n v="1495429200"/>
    <n v="1496293200"/>
    <b v="0"/>
    <b v="0"/>
    <s v="theater/plays"/>
    <n v="6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x v="129"/>
    <x v="6"/>
    <s v="EUR"/>
    <n v="1334811600"/>
    <n v="1335416400"/>
    <b v="0"/>
    <b v="0"/>
    <s v="theater/plays"/>
    <n v="0.42387755102040814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x v="476"/>
    <x v="1"/>
    <s v="USD"/>
    <n v="1531544400"/>
    <n v="1532149200"/>
    <b v="0"/>
    <b v="1"/>
    <s v="theater/plays"/>
    <n v="0.47860465116279072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x v="443"/>
    <x v="6"/>
    <s v="EUR"/>
    <n v="1453615200"/>
    <n v="1453788000"/>
    <b v="1"/>
    <b v="1"/>
    <s v="theater/plays"/>
    <n v="-0.79677419354838708"/>
    <n v="90"/>
    <x v="3"/>
    <s v="plays"/>
    <x v="248"/>
    <d v="2016-01-26T06:00:00"/>
  </r>
  <r>
    <n v="712"/>
    <s v="Garza-Bryant"/>
    <s v="Programmable leadingedge contingency"/>
    <n v="800"/>
    <n v="14725"/>
    <x v="1"/>
    <x v="381"/>
    <x v="1"/>
    <s v="USD"/>
    <n v="1467954000"/>
    <n v="1471496400"/>
    <b v="0"/>
    <b v="0"/>
    <s v="theater/plays"/>
    <n v="17.40625"/>
    <n v="72.896039603960389"/>
    <x v="3"/>
    <s v="plays"/>
    <x v="571"/>
    <d v="2016-08-18T05:00:00"/>
  </r>
  <r>
    <n v="713"/>
    <s v="Mays LLC"/>
    <s v="Multi-layered global groupware"/>
    <n v="6900"/>
    <n v="11174"/>
    <x v="1"/>
    <x v="459"/>
    <x v="1"/>
    <s v="USD"/>
    <n v="1471842000"/>
    <n v="1472878800"/>
    <b v="0"/>
    <b v="0"/>
    <s v="publishing/radio &amp; podcasts"/>
    <n v="0.61942028985507247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x v="477"/>
    <x v="1"/>
    <s v="USD"/>
    <n v="1408424400"/>
    <n v="1408510800"/>
    <b v="0"/>
    <b v="0"/>
    <s v="music/rock"/>
    <n v="3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x v="478"/>
    <x v="1"/>
    <s v="USD"/>
    <n v="1281157200"/>
    <n v="1281589200"/>
    <b v="0"/>
    <b v="0"/>
    <s v="games/mobile games"/>
    <n v="-0.75533898305084746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x v="144"/>
    <x v="1"/>
    <s v="USD"/>
    <n v="1373432400"/>
    <n v="1375851600"/>
    <b v="0"/>
    <b v="1"/>
    <s v="theater/plays"/>
    <n v="4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x v="479"/>
    <x v="1"/>
    <s v="USD"/>
    <n v="1313989200"/>
    <n v="1315803600"/>
    <b v="0"/>
    <b v="0"/>
    <s v="film &amp; video/documentary"/>
    <n v="1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x v="480"/>
    <x v="1"/>
    <s v="USD"/>
    <n v="1371445200"/>
    <n v="1373691600"/>
    <b v="0"/>
    <b v="0"/>
    <s v="technology/wearables"/>
    <n v="2.0481927710843373E-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x v="300"/>
    <x v="1"/>
    <s v="USD"/>
    <n v="1338267600"/>
    <n v="1339218000"/>
    <b v="0"/>
    <b v="0"/>
    <s v="publishing/fiction"/>
    <n v="0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x v="63"/>
    <x v="3"/>
    <s v="DKK"/>
    <n v="1519192800"/>
    <n v="1520402400"/>
    <b v="0"/>
    <b v="1"/>
    <s v="theater/plays"/>
    <n v="-0.6290804597701149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x v="101"/>
    <x v="1"/>
    <s v="USD"/>
    <n v="1522818000"/>
    <n v="1523336400"/>
    <b v="0"/>
    <b v="0"/>
    <s v="music/rock"/>
    <n v="-0.95607605177993527"/>
    <n v="90.483333333333334"/>
    <x v="1"/>
    <s v="rock"/>
    <x v="657"/>
    <d v="2018-04-10T05:00:00"/>
  </r>
  <r>
    <n v="722"/>
    <s v="Thomas-Simmons"/>
    <s v="Proactive 24hour frame"/>
    <n v="48500"/>
    <n v="75906"/>
    <x v="1"/>
    <x v="481"/>
    <x v="1"/>
    <s v="USD"/>
    <n v="1509948000"/>
    <n v="1512280800"/>
    <b v="0"/>
    <b v="0"/>
    <s v="film &amp; video/documentary"/>
    <n v="0.56507216494845358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x v="358"/>
    <x v="2"/>
    <s v="AUD"/>
    <n v="1456898400"/>
    <n v="1458709200"/>
    <b v="0"/>
    <b v="0"/>
    <s v="theater/plays"/>
    <n v="1.7040816326530612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x v="246"/>
    <x v="4"/>
    <s v="GBP"/>
    <n v="1413954000"/>
    <n v="1414126800"/>
    <b v="0"/>
    <b v="1"/>
    <s v="theater/plays"/>
    <n v="0.34059523809523812"/>
    <n v="93.066115702479337"/>
    <x v="3"/>
    <s v="plays"/>
    <x v="659"/>
    <d v="2014-10-24T05:00:00"/>
  </r>
  <r>
    <n v="725"/>
    <s v="Dawson-Tyler"/>
    <s v="Optional 6thgeneration access"/>
    <n v="193200"/>
    <n v="97369"/>
    <x v="0"/>
    <x v="482"/>
    <x v="1"/>
    <s v="USD"/>
    <n v="1416031200"/>
    <n v="1416204000"/>
    <b v="0"/>
    <b v="0"/>
    <s v="games/mobile games"/>
    <n v="-0.4960196687370600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x v="168"/>
    <x v="1"/>
    <s v="USD"/>
    <n v="1287982800"/>
    <n v="1288501200"/>
    <b v="0"/>
    <b v="1"/>
    <s v="theater/plays"/>
    <n v="-0.111841620626151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x v="483"/>
    <x v="1"/>
    <s v="USD"/>
    <n v="1547964000"/>
    <n v="1552971600"/>
    <b v="0"/>
    <b v="0"/>
    <s v="technology/web"/>
    <n v="0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x v="234"/>
    <x v="1"/>
    <s v="USD"/>
    <n v="1464152400"/>
    <n v="1465102800"/>
    <b v="0"/>
    <b v="0"/>
    <s v="theater/plays"/>
    <n v="-0.82499999999999996"/>
    <n v="73.5"/>
    <x v="3"/>
    <s v="plays"/>
    <x v="662"/>
    <d v="2016-06-05T05:00:00"/>
  </r>
  <r>
    <n v="729"/>
    <s v="Moore Group"/>
    <s v="Multi-lateral object-oriented open system"/>
    <n v="5600"/>
    <n v="10397"/>
    <x v="1"/>
    <x v="393"/>
    <x v="1"/>
    <s v="USD"/>
    <n v="1359957600"/>
    <n v="1360130400"/>
    <b v="0"/>
    <b v="0"/>
    <s v="film &amp; video/drama"/>
    <n v="0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x v="130"/>
    <x v="0"/>
    <s v="CAD"/>
    <n v="1432357200"/>
    <n v="1432875600"/>
    <b v="0"/>
    <b v="0"/>
    <s v="technology/wearables"/>
    <n v="3.1266319444444446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x v="319"/>
    <x v="1"/>
    <s v="USD"/>
    <n v="1500786000"/>
    <n v="1500872400"/>
    <b v="0"/>
    <b v="0"/>
    <s v="technology/web"/>
    <n v="-9.7500000000000003E-2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x v="484"/>
    <x v="1"/>
    <s v="USD"/>
    <n v="1490158800"/>
    <n v="1492146000"/>
    <b v="0"/>
    <b v="1"/>
    <s v="music/rock"/>
    <n v="-8.0153846153846159E-2"/>
    <n v="96.005352363960753"/>
    <x v="1"/>
    <s v="rock"/>
    <x v="666"/>
    <d v="2017-04-14T05:00:00"/>
  </r>
  <r>
    <n v="733"/>
    <s v="Marquez-Kerr"/>
    <s v="Automated hybrid orchestration"/>
    <n v="15800"/>
    <n v="83267"/>
    <x v="1"/>
    <x v="485"/>
    <x v="1"/>
    <s v="USD"/>
    <n v="1406178000"/>
    <n v="1407301200"/>
    <b v="0"/>
    <b v="0"/>
    <s v="music/metal"/>
    <n v="4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x v="486"/>
    <x v="1"/>
    <s v="USD"/>
    <n v="1485583200"/>
    <n v="1486620000"/>
    <b v="0"/>
    <b v="1"/>
    <s v="theater/plays"/>
    <n v="2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x v="487"/>
    <x v="1"/>
    <s v="USD"/>
    <n v="1459314000"/>
    <n v="1459918800"/>
    <b v="0"/>
    <b v="0"/>
    <s v="photography/photography books"/>
    <n v="2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x v="226"/>
    <x v="1"/>
    <s v="USD"/>
    <n v="1424412000"/>
    <n v="1424757600"/>
    <b v="0"/>
    <b v="0"/>
    <s v="publishing/nonfiction"/>
    <n v="-0.67103896103896099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x v="80"/>
    <x v="1"/>
    <s v="USD"/>
    <n v="1478844000"/>
    <n v="1479880800"/>
    <b v="0"/>
    <b v="0"/>
    <s v="music/indie rock"/>
    <n v="0.35891891891891892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x v="27"/>
    <x v="1"/>
    <s v="USD"/>
    <n v="1416117600"/>
    <n v="1418018400"/>
    <b v="0"/>
    <b v="1"/>
    <s v="theater/plays"/>
    <n v="-0.97915662650602409"/>
    <n v="103.8"/>
    <x v="3"/>
    <s v="plays"/>
    <x v="671"/>
    <d v="2014-12-08T06:00:00"/>
  </r>
  <r>
    <n v="739"/>
    <s v="Meyer-Avila"/>
    <s v="Multi-tiered discrete support"/>
    <n v="10000"/>
    <n v="6100"/>
    <x v="0"/>
    <x v="271"/>
    <x v="1"/>
    <s v="USD"/>
    <n v="1340946000"/>
    <n v="1341032400"/>
    <b v="0"/>
    <b v="0"/>
    <s v="music/indie rock"/>
    <n v="-0.39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x v="36"/>
    <x v="1"/>
    <s v="USD"/>
    <n v="1486101600"/>
    <n v="1486360800"/>
    <b v="0"/>
    <b v="0"/>
    <s v="theater/plays"/>
    <n v="-0.69962264150943398"/>
    <n v="99.5"/>
    <x v="3"/>
    <s v="plays"/>
    <x v="673"/>
    <d v="2017-02-06T06:00:00"/>
  </r>
  <r>
    <n v="741"/>
    <s v="Garcia Ltd"/>
    <s v="Balanced mobile alliance"/>
    <n v="1200"/>
    <n v="14150"/>
    <x v="1"/>
    <x v="406"/>
    <x v="1"/>
    <s v="USD"/>
    <n v="1274590800"/>
    <n v="1274677200"/>
    <b v="0"/>
    <b v="0"/>
    <s v="theater/plays"/>
    <n v="10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x v="393"/>
    <x v="1"/>
    <s v="USD"/>
    <n v="1263880800"/>
    <n v="1267509600"/>
    <b v="0"/>
    <b v="0"/>
    <s v="music/electric music"/>
    <n v="10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x v="68"/>
    <x v="1"/>
    <s v="USD"/>
    <n v="1445403600"/>
    <n v="1445922000"/>
    <b v="0"/>
    <b v="1"/>
    <s v="theater/plays"/>
    <n v="-0.87076923076923074"/>
    <n v="29.647058823529413"/>
    <x v="3"/>
    <s v="plays"/>
    <x v="676"/>
    <d v="2015-10-27T05:00:00"/>
  </r>
  <r>
    <n v="744"/>
    <s v="Fitzgerald Group"/>
    <s v="Intuitive exuding initiative"/>
    <n v="2000"/>
    <n v="14240"/>
    <x v="1"/>
    <x v="382"/>
    <x v="1"/>
    <s v="USD"/>
    <n v="1533877200"/>
    <n v="1534050000"/>
    <b v="0"/>
    <b v="1"/>
    <s v="theater/plays"/>
    <n v="6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x v="298"/>
    <x v="1"/>
    <s v="USD"/>
    <n v="1275195600"/>
    <n v="1277528400"/>
    <b v="0"/>
    <b v="0"/>
    <s v="technology/wearables"/>
    <n v="-0.69695652173913047"/>
    <n v="61.5"/>
    <x v="2"/>
    <s v="wearables"/>
    <x v="677"/>
    <d v="2010-06-26T05:00:00"/>
  </r>
  <r>
    <n v="746"/>
    <s v="Edwards LLC"/>
    <s v="Automated system-worthy structure"/>
    <n v="55800"/>
    <n v="118580"/>
    <x v="1"/>
    <x v="488"/>
    <x v="1"/>
    <s v="USD"/>
    <n v="1318136400"/>
    <n v="1318568400"/>
    <b v="0"/>
    <b v="0"/>
    <s v="technology/web"/>
    <n v="1.125089605734767"/>
    <n v="35"/>
    <x v="2"/>
    <s v="web"/>
    <x v="678"/>
    <d v="2011-10-14T05:00:00"/>
  </r>
  <r>
    <n v="747"/>
    <s v="Greer and Sons"/>
    <s v="Secured clear-thinking intranet"/>
    <n v="4900"/>
    <n v="11214"/>
    <x v="1"/>
    <x v="489"/>
    <x v="1"/>
    <s v="USD"/>
    <n v="1283403600"/>
    <n v="1284354000"/>
    <b v="0"/>
    <b v="0"/>
    <s v="theater/plays"/>
    <n v="1.2885714285714285"/>
    <n v="40.049999999999997"/>
    <x v="3"/>
    <s v="plays"/>
    <x v="679"/>
    <d v="2010-09-13T05:00:00"/>
  </r>
  <r>
    <n v="748"/>
    <s v="Martinez PLC"/>
    <s v="Cloned actuating architecture"/>
    <n v="194900"/>
    <n v="68137"/>
    <x v="3"/>
    <x v="490"/>
    <x v="1"/>
    <s v="USD"/>
    <n v="1267423200"/>
    <n v="1269579600"/>
    <b v="0"/>
    <b v="1"/>
    <s v="film &amp; video/animation"/>
    <n v="-0.6504002052334531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x v="491"/>
    <x v="6"/>
    <s v="EUR"/>
    <n v="1412744400"/>
    <n v="1413781200"/>
    <b v="0"/>
    <b v="1"/>
    <s v="technology/wearables"/>
    <n v="0.572906976744186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x v="49"/>
    <x v="4"/>
    <s v="GBP"/>
    <n v="1277960400"/>
    <n v="1280120400"/>
    <b v="0"/>
    <b v="0"/>
    <s v="music/electric music"/>
    <n v="-0.99"/>
    <n v="1"/>
    <x v="1"/>
    <s v="electric music"/>
    <x v="682"/>
    <d v="2010-07-26T05:00:00"/>
  </r>
  <r>
    <n v="751"/>
    <s v="Lane-Barber"/>
    <s v="Universal value-added moderator"/>
    <n v="3600"/>
    <n v="8363"/>
    <x v="1"/>
    <x v="492"/>
    <x v="1"/>
    <s v="USD"/>
    <n v="1458190800"/>
    <n v="1459486800"/>
    <b v="1"/>
    <b v="1"/>
    <s v="publishing/nonfiction"/>
    <n v="1.3230555555555557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x v="493"/>
    <x v="1"/>
    <s v="USD"/>
    <n v="1280984400"/>
    <n v="1282539600"/>
    <b v="0"/>
    <b v="1"/>
    <s v="theater/plays"/>
    <n v="-7.5517241379310346E-2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x v="231"/>
    <x v="1"/>
    <s v="USD"/>
    <n v="1274590800"/>
    <n v="1275886800"/>
    <b v="0"/>
    <b v="0"/>
    <s v="photography/photography books"/>
    <n v="1.5670212765957447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x v="494"/>
    <x v="1"/>
    <s v="USD"/>
    <n v="1351400400"/>
    <n v="1355983200"/>
    <b v="0"/>
    <b v="0"/>
    <s v="theater/plays"/>
    <n v="0.68470170454545454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x v="495"/>
    <x v="3"/>
    <s v="DKK"/>
    <n v="1514354400"/>
    <n v="1515391200"/>
    <b v="0"/>
    <b v="1"/>
    <s v="theater/plays"/>
    <n v="0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x v="496"/>
    <x v="1"/>
    <s v="USD"/>
    <n v="1421733600"/>
    <n v="1422252000"/>
    <b v="0"/>
    <b v="0"/>
    <s v="theater/plays"/>
    <n v="6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x v="493"/>
    <x v="1"/>
    <s v="USD"/>
    <n v="1305176400"/>
    <n v="1305522000"/>
    <b v="0"/>
    <b v="0"/>
    <s v="film &amp; video/drama"/>
    <n v="3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x v="497"/>
    <x v="0"/>
    <s v="CAD"/>
    <n v="1414126800"/>
    <n v="1414904400"/>
    <b v="0"/>
    <b v="0"/>
    <s v="music/rock"/>
    <n v="4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x v="498"/>
    <x v="1"/>
    <s v="USD"/>
    <n v="1517810400"/>
    <n v="1520402400"/>
    <b v="0"/>
    <b v="0"/>
    <s v="music/electric music"/>
    <n v="-0.3157313432835821"/>
    <n v="89.964678178963894"/>
    <x v="1"/>
    <s v="electric music"/>
    <x v="689"/>
    <d v="2018-03-07T06:00:00"/>
  </r>
  <r>
    <n v="760"/>
    <s v="Smith-Kennedy"/>
    <s v="Virtual heuristic hub"/>
    <n v="48300"/>
    <n v="16592"/>
    <x v="0"/>
    <x v="155"/>
    <x v="6"/>
    <s v="EUR"/>
    <n v="1564635600"/>
    <n v="1567141200"/>
    <b v="0"/>
    <b v="1"/>
    <s v="games/video games"/>
    <n v="-0.6564803312629399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x v="499"/>
    <x v="1"/>
    <s v="USD"/>
    <n v="1500699600"/>
    <n v="1501131600"/>
    <b v="0"/>
    <b v="0"/>
    <s v="music/rock"/>
    <n v="5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x v="16"/>
    <x v="2"/>
    <s v="AUD"/>
    <n v="1354082400"/>
    <n v="1355032800"/>
    <b v="0"/>
    <b v="0"/>
    <s v="music/jazz"/>
    <n v="0.77257142857142858"/>
    <n v="62.04"/>
    <x v="1"/>
    <s v="jazz"/>
    <x v="692"/>
    <d v="2012-12-09T06:00:00"/>
  </r>
  <r>
    <n v="763"/>
    <s v="Rowland PLC"/>
    <s v="Inverse client-driven product"/>
    <n v="5600"/>
    <n v="6338"/>
    <x v="1"/>
    <x v="500"/>
    <x v="1"/>
    <s v="USD"/>
    <n v="1336453200"/>
    <n v="1339477200"/>
    <b v="0"/>
    <b v="1"/>
    <s v="theater/plays"/>
    <n v="0.13178571428571428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x v="496"/>
    <x v="1"/>
    <s v="USD"/>
    <n v="1305262800"/>
    <n v="1305954000"/>
    <b v="0"/>
    <b v="0"/>
    <s v="music/rock"/>
    <n v="6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x v="40"/>
    <x v="1"/>
    <s v="USD"/>
    <n v="1492232400"/>
    <n v="1494392400"/>
    <b v="1"/>
    <b v="1"/>
    <s v="music/indie rock"/>
    <n v="1.0833333333333333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x v="501"/>
    <x v="2"/>
    <s v="AUD"/>
    <n v="1537333200"/>
    <n v="1537419600"/>
    <b v="0"/>
    <b v="0"/>
    <s v="film &amp; video/science fiction"/>
    <n v="-0.6882876712328767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x v="502"/>
    <x v="1"/>
    <s v="USD"/>
    <n v="1444107600"/>
    <n v="1447999200"/>
    <b v="0"/>
    <b v="0"/>
    <s v="publishing/translations"/>
    <n v="-0.43032921810699587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x v="503"/>
    <x v="1"/>
    <s v="USD"/>
    <n v="1386741600"/>
    <n v="1388037600"/>
    <b v="0"/>
    <b v="0"/>
    <s v="theater/plays"/>
    <n v="1.31"/>
    <n v="73.92"/>
    <x v="3"/>
    <s v="plays"/>
    <x v="626"/>
    <d v="2013-12-26T06:00:00"/>
  </r>
  <r>
    <n v="769"/>
    <s v="Johnson-Morales"/>
    <s v="Devolved 24hour forecast"/>
    <n v="125600"/>
    <n v="109106"/>
    <x v="0"/>
    <x v="504"/>
    <x v="1"/>
    <s v="USD"/>
    <n v="1376542800"/>
    <n v="1378789200"/>
    <b v="0"/>
    <b v="0"/>
    <s v="games/video games"/>
    <n v="-0.13132165605095542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x v="505"/>
    <x v="6"/>
    <s v="EUR"/>
    <n v="1397451600"/>
    <n v="1398056400"/>
    <b v="0"/>
    <b v="1"/>
    <s v="theater/plays"/>
    <n v="1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x v="150"/>
    <x v="1"/>
    <s v="USD"/>
    <n v="1548482400"/>
    <n v="1550815200"/>
    <b v="0"/>
    <b v="0"/>
    <s v="theater/plays"/>
    <n v="-0.50553571428571431"/>
    <n v="106.5"/>
    <x v="3"/>
    <s v="plays"/>
    <x v="699"/>
    <d v="2019-02-22T06:00:00"/>
  </r>
  <r>
    <n v="772"/>
    <s v="Johnson-Pace"/>
    <s v="Persistent 3rdgeneration moratorium"/>
    <n v="149600"/>
    <n v="169586"/>
    <x v="1"/>
    <x v="506"/>
    <x v="1"/>
    <s v="USD"/>
    <n v="1549692000"/>
    <n v="1550037600"/>
    <b v="0"/>
    <b v="0"/>
    <s v="music/indie rock"/>
    <n v="0.1335962566844919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x v="507"/>
    <x v="1"/>
    <s v="USD"/>
    <n v="1492059600"/>
    <n v="1492923600"/>
    <b v="0"/>
    <b v="0"/>
    <s v="theater/plays"/>
    <n v="0.90555555555555556"/>
    <n v="43.00254993625159"/>
    <x v="3"/>
    <s v="plays"/>
    <x v="701"/>
    <d v="2017-04-23T05:00:00"/>
  </r>
  <r>
    <n v="774"/>
    <s v="Gonzalez-Snow"/>
    <s v="Polarized user-facing interface"/>
    <n v="5000"/>
    <n v="6775"/>
    <x v="1"/>
    <x v="373"/>
    <x v="6"/>
    <s v="EUR"/>
    <n v="1463979600"/>
    <n v="1467522000"/>
    <b v="0"/>
    <b v="0"/>
    <s v="technology/web"/>
    <n v="0.35499999999999998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x v="234"/>
    <x v="1"/>
    <s v="USD"/>
    <n v="1415253600"/>
    <n v="1416117600"/>
    <b v="0"/>
    <b v="0"/>
    <s v="music/rock"/>
    <n v="-0.89702127659574471"/>
    <n v="96.8"/>
    <x v="1"/>
    <s v="rock"/>
    <x v="703"/>
    <d v="2014-11-16T06:00:00"/>
  </r>
  <r>
    <n v="776"/>
    <s v="Taylor-Rowe"/>
    <s v="Synchronized multimedia frame"/>
    <n v="110800"/>
    <n v="72623"/>
    <x v="0"/>
    <x v="508"/>
    <x v="1"/>
    <s v="USD"/>
    <n v="1562216400"/>
    <n v="1563771600"/>
    <b v="0"/>
    <b v="0"/>
    <s v="theater/plays"/>
    <n v="-0.34455776173285196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x v="103"/>
    <x v="1"/>
    <s v="USD"/>
    <n v="1316754000"/>
    <n v="1319259600"/>
    <b v="0"/>
    <b v="0"/>
    <s v="theater/plays"/>
    <n v="-0.50973347547974412"/>
    <n v="68.028106508875737"/>
    <x v="3"/>
    <s v="plays"/>
    <x v="431"/>
    <d v="2011-10-22T05:00:00"/>
  </r>
  <r>
    <n v="778"/>
    <s v="Moss-Guzman"/>
    <s v="Cross-platform optimizing website"/>
    <n v="1300"/>
    <n v="10243"/>
    <x v="1"/>
    <x v="5"/>
    <x v="5"/>
    <s v="CHF"/>
    <n v="1313211600"/>
    <n v="1313643600"/>
    <b v="0"/>
    <b v="0"/>
    <s v="film &amp; video/animation"/>
    <n v="6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x v="509"/>
    <x v="1"/>
    <s v="USD"/>
    <n v="1439528400"/>
    <n v="1440306000"/>
    <b v="0"/>
    <b v="1"/>
    <s v="theater/plays"/>
    <n v="-0.1969365225390984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x v="55"/>
    <x v="1"/>
    <s v="USD"/>
    <n v="1469163600"/>
    <n v="1470805200"/>
    <b v="0"/>
    <b v="1"/>
    <s v="film &amp; video/drama"/>
    <n v="6.2941176470588237E-2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x v="75"/>
    <x v="5"/>
    <s v="CHF"/>
    <n v="1288501200"/>
    <n v="1292911200"/>
    <b v="0"/>
    <b v="0"/>
    <s v="theater/plays"/>
    <n v="-0.49264367816091953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x v="510"/>
    <x v="1"/>
    <s v="USD"/>
    <n v="1298959200"/>
    <n v="1301374800"/>
    <b v="0"/>
    <b v="1"/>
    <s v="film &amp; video/animation"/>
    <n v="1.1531372549019607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x v="188"/>
    <x v="1"/>
    <s v="USD"/>
    <n v="1387260000"/>
    <n v="1387864800"/>
    <b v="0"/>
    <b v="0"/>
    <s v="music/rock"/>
    <n v="0.4122972972972973"/>
    <n v="75.731884057971016"/>
    <x v="1"/>
    <s v="rock"/>
    <x v="710"/>
    <d v="2013-12-24T06:00:00"/>
  </r>
  <r>
    <n v="784"/>
    <s v="Byrd Group"/>
    <s v="Profound fault-tolerant model"/>
    <n v="88900"/>
    <n v="102535"/>
    <x v="1"/>
    <x v="511"/>
    <x v="1"/>
    <s v="USD"/>
    <n v="1457244000"/>
    <n v="1458190800"/>
    <b v="0"/>
    <b v="0"/>
    <s v="technology/web"/>
    <n v="0.153374578177727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x v="78"/>
    <x v="2"/>
    <s v="AUD"/>
    <n v="1556341200"/>
    <n v="1559278800"/>
    <b v="0"/>
    <b v="1"/>
    <s v="film &amp; video/animation"/>
    <n v="0.93119402985074629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x v="512"/>
    <x v="6"/>
    <s v="EUR"/>
    <n v="1522126800"/>
    <n v="1522731600"/>
    <b v="0"/>
    <b v="1"/>
    <s v="music/jazz"/>
    <n v="6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x v="513"/>
    <x v="0"/>
    <s v="CAD"/>
    <n v="1305954000"/>
    <n v="1306731600"/>
    <b v="0"/>
    <b v="0"/>
    <s v="music/rock"/>
    <n v="-3.3660130718954247E-3"/>
    <n v="71.005820721769496"/>
    <x v="1"/>
    <s v="rock"/>
    <x v="712"/>
    <d v="2011-05-30T05:00:00"/>
  </r>
  <r>
    <n v="788"/>
    <s v="Joyce PLC"/>
    <s v="Synchronized directional capability"/>
    <n v="3600"/>
    <n v="3174"/>
    <x v="2"/>
    <x v="249"/>
    <x v="1"/>
    <s v="USD"/>
    <n v="1350709200"/>
    <n v="1352527200"/>
    <b v="0"/>
    <b v="0"/>
    <s v="film &amp; video/animation"/>
    <n v="-0.11833333333333333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x v="430"/>
    <x v="1"/>
    <s v="USD"/>
    <n v="1401166800"/>
    <n v="1404363600"/>
    <b v="0"/>
    <b v="0"/>
    <s v="theater/plays"/>
    <n v="-0.62766666666666671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x v="260"/>
    <x v="1"/>
    <s v="USD"/>
    <n v="1266127200"/>
    <n v="1266645600"/>
    <b v="0"/>
    <b v="0"/>
    <s v="theater/plays"/>
    <n v="-0.6945992469069391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x v="514"/>
    <x v="1"/>
    <s v="USD"/>
    <n v="1481436000"/>
    <n v="1482818400"/>
    <b v="0"/>
    <b v="0"/>
    <s v="food/food trucks"/>
    <n v="-0.74285714285714288"/>
    <n v="90"/>
    <x v="0"/>
    <s v="food trucks"/>
    <x v="715"/>
    <d v="2016-12-27T06:00:00"/>
  </r>
  <r>
    <n v="792"/>
    <s v="Jordan, Schneider and Hall"/>
    <s v="Reduced 6thgeneration intranet"/>
    <n v="2000"/>
    <n v="680"/>
    <x v="0"/>
    <x v="243"/>
    <x v="1"/>
    <s v="USD"/>
    <n v="1372222800"/>
    <n v="1374642000"/>
    <b v="0"/>
    <b v="1"/>
    <s v="theater/plays"/>
    <n v="-0.66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x v="483"/>
    <x v="5"/>
    <s v="CHF"/>
    <n v="1372136400"/>
    <n v="1372482000"/>
    <b v="0"/>
    <b v="0"/>
    <s v="publishing/nonfiction"/>
    <n v="10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x v="460"/>
    <x v="1"/>
    <s v="USD"/>
    <n v="1513922400"/>
    <n v="1514959200"/>
    <b v="0"/>
    <b v="0"/>
    <s v="music/rock"/>
    <n v="0.25393939393939396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x v="249"/>
    <x v="1"/>
    <s v="USD"/>
    <n v="1477976400"/>
    <n v="1478235600"/>
    <b v="0"/>
    <b v="0"/>
    <s v="film &amp; video/drama"/>
    <n v="-0.85605633802816905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x v="373"/>
    <x v="1"/>
    <s v="USD"/>
    <n v="1407474000"/>
    <n v="1408078800"/>
    <b v="0"/>
    <b v="1"/>
    <s v="games/mobile games"/>
    <n v="-0.4519230769230769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x v="515"/>
    <x v="1"/>
    <s v="USD"/>
    <n v="1546149600"/>
    <n v="1548136800"/>
    <b v="0"/>
    <b v="0"/>
    <s v="technology/web"/>
    <n v="9.6315789473684216E-2"/>
    <n v="45.037837837837834"/>
    <x v="2"/>
    <s v="web"/>
    <x v="720"/>
    <d v="2019-01-22T06:00:00"/>
  </r>
  <r>
    <n v="798"/>
    <s v="Small-Fuentes"/>
    <s v="Seamless maximized product"/>
    <n v="3400"/>
    <n v="6408"/>
    <x v="1"/>
    <x v="246"/>
    <x v="1"/>
    <s v="USD"/>
    <n v="1338440400"/>
    <n v="1340859600"/>
    <b v="0"/>
    <b v="1"/>
    <s v="theater/plays"/>
    <n v="0.88470588235294123"/>
    <n v="52.958677685950413"/>
    <x v="3"/>
    <s v="plays"/>
    <x v="721"/>
    <d v="2012-06-28T05:00:00"/>
  </r>
  <r>
    <n v="799"/>
    <s v="Reid-Day"/>
    <s v="Devolved tertiary time-frame"/>
    <n v="84500"/>
    <n v="73522"/>
    <x v="0"/>
    <x v="516"/>
    <x v="4"/>
    <s v="GBP"/>
    <n v="1454133600"/>
    <n v="1454479200"/>
    <b v="0"/>
    <b v="0"/>
    <s v="theater/plays"/>
    <n v="-0.12991715976331361"/>
    <n v="60.017959183673469"/>
    <x v="3"/>
    <s v="plays"/>
    <x v="722"/>
    <d v="2016-02-03T06:00:00"/>
  </r>
  <r>
    <n v="800"/>
    <s v="Wallace LLC"/>
    <s v="Centralized regional function"/>
    <n v="100"/>
    <n v="1"/>
    <x v="0"/>
    <x v="49"/>
    <x v="5"/>
    <s v="CHF"/>
    <n v="1434085200"/>
    <n v="1434430800"/>
    <b v="0"/>
    <b v="0"/>
    <s v="music/rock"/>
    <n v="-0.99"/>
    <n v="1"/>
    <x v="1"/>
    <s v="rock"/>
    <x v="139"/>
    <d v="2015-06-16T05:00:00"/>
  </r>
  <r>
    <n v="801"/>
    <s v="Olson-Bishop"/>
    <s v="User-friendly high-level initiative"/>
    <n v="2300"/>
    <n v="4667"/>
    <x v="1"/>
    <x v="88"/>
    <x v="1"/>
    <s v="USD"/>
    <n v="1577772000"/>
    <n v="1579672800"/>
    <b v="0"/>
    <b v="1"/>
    <s v="photography/photography books"/>
    <n v="1.0291304347826087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x v="23"/>
    <x v="1"/>
    <s v="USD"/>
    <n v="1562216400"/>
    <n v="1562389200"/>
    <b v="0"/>
    <b v="0"/>
    <s v="photography/photography books"/>
    <n v="0.97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x v="517"/>
    <x v="1"/>
    <s v="USD"/>
    <n v="1548568800"/>
    <n v="1551506400"/>
    <b v="0"/>
    <b v="0"/>
    <s v="theater/plays"/>
    <n v="7.0000000000000007E-2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x v="205"/>
    <x v="1"/>
    <s v="USD"/>
    <n v="1514872800"/>
    <n v="1516600800"/>
    <b v="0"/>
    <b v="0"/>
    <s v="music/rock"/>
    <n v="1.6873076923076924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x v="109"/>
    <x v="2"/>
    <s v="AUD"/>
    <n v="1416031200"/>
    <n v="1420437600"/>
    <b v="0"/>
    <b v="0"/>
    <s v="film &amp; video/documentary"/>
    <n v="-0.49154639175257731"/>
    <n v="73.611940298507463"/>
    <x v="4"/>
    <s v="documentary"/>
    <x v="660"/>
    <d v="2015-01-05T06:00:00"/>
  </r>
  <r>
    <n v="806"/>
    <s v="Harmon-Madden"/>
    <s v="Adaptive holistic hub"/>
    <n v="700"/>
    <n v="8262"/>
    <x v="1"/>
    <x v="70"/>
    <x v="1"/>
    <s v="USD"/>
    <n v="1330927200"/>
    <n v="1332997200"/>
    <b v="0"/>
    <b v="1"/>
    <s v="film &amp; video/drama"/>
    <n v="10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x v="177"/>
    <x v="1"/>
    <s v="USD"/>
    <n v="1571115600"/>
    <n v="1574920800"/>
    <b v="0"/>
    <b v="1"/>
    <s v="theater/plays"/>
    <n v="1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x v="161"/>
    <x v="1"/>
    <s v="USD"/>
    <n v="1463461200"/>
    <n v="1464930000"/>
    <b v="0"/>
    <b v="0"/>
    <s v="food/food trucks"/>
    <n v="-0.6955769230769230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x v="518"/>
    <x v="5"/>
    <s v="CHF"/>
    <n v="1344920400"/>
    <n v="1345006800"/>
    <b v="0"/>
    <b v="0"/>
    <s v="film &amp; video/documentary"/>
    <n v="-0.37119318181818184"/>
    <n v="42"/>
    <x v="4"/>
    <s v="documentary"/>
    <x v="729"/>
    <d v="2012-08-15T05:00:00"/>
  </r>
  <r>
    <n v="810"/>
    <s v="Ball-Fisher"/>
    <s v="Multi-layered intangible instruction set"/>
    <n v="6400"/>
    <n v="12360"/>
    <x v="1"/>
    <x v="394"/>
    <x v="1"/>
    <s v="USD"/>
    <n v="1511848800"/>
    <n v="1512712800"/>
    <b v="0"/>
    <b v="1"/>
    <s v="theater/plays"/>
    <n v="0.93125000000000002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x v="89"/>
    <x v="1"/>
    <s v="USD"/>
    <n v="1452319200"/>
    <n v="1452492000"/>
    <b v="0"/>
    <b v="1"/>
    <s v="games/video games"/>
    <n v="-0.2289729729729729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x v="519"/>
    <x v="0"/>
    <s v="CAD"/>
    <n v="1523854800"/>
    <n v="1524286800"/>
    <b v="0"/>
    <b v="0"/>
    <s v="publishing/nonfiction"/>
    <n v="1.2552763819095478"/>
    <n v="48"/>
    <x v="5"/>
    <s v="nonfiction"/>
    <x v="78"/>
    <d v="2018-04-21T05:00:00"/>
  </r>
  <r>
    <n v="813"/>
    <s v="Buckley Group"/>
    <s v="Diverse high-level attitude"/>
    <n v="3200"/>
    <n v="7661"/>
    <x v="1"/>
    <x v="520"/>
    <x v="1"/>
    <s v="USD"/>
    <n v="1346043600"/>
    <n v="1346907600"/>
    <b v="0"/>
    <b v="0"/>
    <s v="games/video games"/>
    <n v="1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x v="521"/>
    <x v="3"/>
    <s v="DKK"/>
    <n v="1464325200"/>
    <n v="1464498000"/>
    <b v="0"/>
    <b v="1"/>
    <s v="music/rock"/>
    <n v="-7.8125E-2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x v="236"/>
    <x v="0"/>
    <s v="CAD"/>
    <n v="1511935200"/>
    <n v="1514181600"/>
    <b v="0"/>
    <b v="0"/>
    <s v="music/rock"/>
    <n v="0.30233333333333334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x v="221"/>
    <x v="1"/>
    <s v="USD"/>
    <n v="1392012000"/>
    <n v="1392184800"/>
    <b v="1"/>
    <b v="1"/>
    <s v="theater/plays"/>
    <n v="5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x v="522"/>
    <x v="6"/>
    <s v="EUR"/>
    <n v="1556946000"/>
    <n v="1559365200"/>
    <b v="0"/>
    <b v="1"/>
    <s v="publishing/nonfiction"/>
    <n v="2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x v="464"/>
    <x v="1"/>
    <s v="USD"/>
    <n v="1548050400"/>
    <n v="1549173600"/>
    <b v="0"/>
    <b v="1"/>
    <s v="theater/plays"/>
    <n v="9.9485714285714284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x v="523"/>
    <x v="1"/>
    <s v="USD"/>
    <n v="1353736800"/>
    <n v="1355032800"/>
    <b v="1"/>
    <b v="0"/>
    <s v="games/video games"/>
    <n v="-0.4933707865168539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x v="524"/>
    <x v="4"/>
    <s v="GBP"/>
    <n v="1532840400"/>
    <n v="1533963600"/>
    <b v="0"/>
    <b v="1"/>
    <s v="music/rock"/>
    <n v="7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x v="155"/>
    <x v="1"/>
    <s v="USD"/>
    <n v="1488261600"/>
    <n v="1489381200"/>
    <b v="0"/>
    <b v="0"/>
    <s v="film &amp; video/documentary"/>
    <n v="1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x v="525"/>
    <x v="1"/>
    <s v="USD"/>
    <n v="1393567200"/>
    <n v="1395032400"/>
    <b v="0"/>
    <b v="0"/>
    <s v="music/rock"/>
    <n v="2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x v="526"/>
    <x v="1"/>
    <s v="USD"/>
    <n v="1410325200"/>
    <n v="1412485200"/>
    <b v="1"/>
    <b v="1"/>
    <s v="music/rock"/>
    <n v="2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x v="527"/>
    <x v="1"/>
    <s v="USD"/>
    <n v="1276923600"/>
    <n v="1279688400"/>
    <b v="0"/>
    <b v="1"/>
    <s v="publishing/nonfiction"/>
    <n v="0.26489411764705884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x v="144"/>
    <x v="4"/>
    <s v="GBP"/>
    <n v="1500958800"/>
    <n v="1501995600"/>
    <b v="0"/>
    <b v="0"/>
    <s v="film &amp; video/shorts"/>
    <n v="2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x v="346"/>
    <x v="1"/>
    <s v="USD"/>
    <n v="1292220000"/>
    <n v="1294639200"/>
    <b v="0"/>
    <b v="1"/>
    <s v="theater/plays"/>
    <n v="3.570357142857143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x v="172"/>
    <x v="2"/>
    <s v="AUD"/>
    <n v="1304398800"/>
    <n v="1305435600"/>
    <b v="0"/>
    <b v="1"/>
    <s v="film &amp; video/drama"/>
    <n v="1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x v="131"/>
    <x v="1"/>
    <s v="USD"/>
    <n v="1535432400"/>
    <n v="1537592400"/>
    <b v="0"/>
    <b v="0"/>
    <s v="theater/plays"/>
    <n v="-0.31"/>
    <n v="69.98571428571428"/>
    <x v="3"/>
    <s v="plays"/>
    <x v="202"/>
    <d v="2018-09-22T05:00:00"/>
  </r>
  <r>
    <n v="829"/>
    <s v="Baker-Higgins"/>
    <s v="Vision-oriented scalable portal"/>
    <n v="9600"/>
    <n v="4929"/>
    <x v="0"/>
    <x v="110"/>
    <x v="1"/>
    <s v="USD"/>
    <n v="1433826000"/>
    <n v="1435122000"/>
    <b v="0"/>
    <b v="0"/>
    <s v="theater/plays"/>
    <n v="-0.48656250000000001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x v="528"/>
    <x v="1"/>
    <s v="USD"/>
    <n v="1514959200"/>
    <n v="1520056800"/>
    <b v="0"/>
    <b v="0"/>
    <s v="theater/plays"/>
    <n v="-0.9882894736842105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x v="529"/>
    <x v="1"/>
    <s v="USD"/>
    <n v="1332738000"/>
    <n v="1335675600"/>
    <b v="0"/>
    <b v="0"/>
    <s v="photography/photography books"/>
    <n v="8.9773429454170953E-2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x v="265"/>
    <x v="3"/>
    <s v="DKK"/>
    <n v="1445490000"/>
    <n v="1448431200"/>
    <b v="1"/>
    <b v="0"/>
    <s v="publishing/translations"/>
    <n v="2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x v="34"/>
    <x v="3"/>
    <s v="DKK"/>
    <n v="1297663200"/>
    <n v="1298613600"/>
    <b v="0"/>
    <b v="0"/>
    <s v="publishing/translations"/>
    <n v="0.57691176470588235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x v="530"/>
    <x v="1"/>
    <s v="USD"/>
    <n v="1371963600"/>
    <n v="1372482000"/>
    <b v="0"/>
    <b v="0"/>
    <s v="theater/plays"/>
    <n v="0.53808219178082195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x v="531"/>
    <x v="1"/>
    <s v="USD"/>
    <n v="1425103200"/>
    <n v="1425621600"/>
    <b v="0"/>
    <b v="0"/>
    <s v="technology/web"/>
    <n v="-0.10261020881670534"/>
    <n v="44.001706484641637"/>
    <x v="2"/>
    <s v="web"/>
    <x v="748"/>
    <d v="2015-03-06T06:00:00"/>
  </r>
  <r>
    <n v="836"/>
    <s v="Macias Inc"/>
    <s v="Optimized didactic intranet"/>
    <n v="8100"/>
    <n v="6086"/>
    <x v="0"/>
    <x v="115"/>
    <x v="1"/>
    <s v="USD"/>
    <n v="1265349600"/>
    <n v="1266300000"/>
    <b v="0"/>
    <b v="0"/>
    <s v="music/indie rock"/>
    <n v="-0.24864197530864199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x v="532"/>
    <x v="1"/>
    <s v="USD"/>
    <n v="1301202000"/>
    <n v="1305867600"/>
    <b v="0"/>
    <b v="0"/>
    <s v="music/jazz"/>
    <n v="7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x v="210"/>
    <x v="1"/>
    <s v="USD"/>
    <n v="1538024400"/>
    <n v="1538802000"/>
    <b v="0"/>
    <b v="0"/>
    <s v="theater/plays"/>
    <n v="0.38906249999999998"/>
    <n v="34.061302681992338"/>
    <x v="3"/>
    <s v="plays"/>
    <x v="750"/>
    <d v="2018-10-06T05:00:00"/>
  </r>
  <r>
    <n v="839"/>
    <s v="Pierce-Ramirez"/>
    <s v="Organized scalable initiative"/>
    <n v="7700"/>
    <n v="14644"/>
    <x v="1"/>
    <x v="144"/>
    <x v="1"/>
    <s v="USD"/>
    <n v="1395032400"/>
    <n v="1398920400"/>
    <b v="0"/>
    <b v="1"/>
    <s v="film &amp; video/documentary"/>
    <n v="0.90181818181818185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x v="533"/>
    <x v="1"/>
    <s v="USD"/>
    <n v="1405486800"/>
    <n v="1405659600"/>
    <b v="0"/>
    <b v="1"/>
    <s v="theater/plays"/>
    <n v="2.4333619948409286E-3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x v="287"/>
    <x v="1"/>
    <s v="USD"/>
    <n v="1455861600"/>
    <n v="1457244000"/>
    <b v="0"/>
    <b v="0"/>
    <s v="technology/web"/>
    <n v="0.42758241758241761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x v="227"/>
    <x v="6"/>
    <s v="EUR"/>
    <n v="1529038800"/>
    <n v="1529298000"/>
    <b v="0"/>
    <b v="0"/>
    <s v="technology/wearables"/>
    <n v="4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x v="254"/>
    <x v="1"/>
    <s v="USD"/>
    <n v="1535259600"/>
    <n v="1535778000"/>
    <b v="0"/>
    <b v="0"/>
    <s v="photography/photography books"/>
    <n v="-0.69284090909090912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x v="115"/>
    <x v="1"/>
    <s v="USD"/>
    <n v="1327212000"/>
    <n v="1327471200"/>
    <b v="0"/>
    <b v="0"/>
    <s v="film &amp; video/documentary"/>
    <n v="-6.0227272727272725E-3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x v="534"/>
    <x v="4"/>
    <s v="GBP"/>
    <n v="1526360400"/>
    <n v="1529557200"/>
    <b v="0"/>
    <b v="0"/>
    <s v="technology/web"/>
    <n v="0.97549356223175965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x v="44"/>
    <x v="1"/>
    <s v="USD"/>
    <n v="1532149200"/>
    <n v="1535259600"/>
    <b v="1"/>
    <b v="1"/>
    <s v="technology/web"/>
    <n v="4.085"/>
    <n v="105.9375"/>
    <x v="2"/>
    <s v="web"/>
    <x v="758"/>
    <d v="2018-08-26T05:00:00"/>
  </r>
  <r>
    <n v="847"/>
    <s v="Miller, Glenn and Adams"/>
    <s v="Distributed actuating project"/>
    <n v="4700"/>
    <n v="11174"/>
    <x v="1"/>
    <x v="460"/>
    <x v="1"/>
    <s v="USD"/>
    <n v="1515304800"/>
    <n v="1515564000"/>
    <b v="0"/>
    <b v="0"/>
    <s v="food/food trucks"/>
    <n v="1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x v="535"/>
    <x v="1"/>
    <s v="USD"/>
    <n v="1276318800"/>
    <n v="1277096400"/>
    <b v="0"/>
    <b v="0"/>
    <s v="film &amp; video/drama"/>
    <n v="2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x v="253"/>
    <x v="1"/>
    <s v="USD"/>
    <n v="1328767200"/>
    <n v="1329026400"/>
    <b v="0"/>
    <b v="1"/>
    <s v="music/indie rock"/>
    <n v="0.33089552238805969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x v="49"/>
    <x v="1"/>
    <s v="USD"/>
    <n v="1321682400"/>
    <n v="1322978400"/>
    <b v="1"/>
    <b v="0"/>
    <s v="music/rock"/>
    <n v="-0.99"/>
    <n v="1"/>
    <x v="1"/>
    <s v="rock"/>
    <x v="762"/>
    <d v="2011-12-04T06:00:00"/>
  </r>
  <r>
    <n v="851"/>
    <s v="Bright and Sons"/>
    <s v="Object-based needs-based info-mediaries"/>
    <n v="6000"/>
    <n v="12468"/>
    <x v="1"/>
    <x v="415"/>
    <x v="1"/>
    <s v="USD"/>
    <n v="1335934800"/>
    <n v="1338786000"/>
    <b v="0"/>
    <b v="0"/>
    <s v="music/electric music"/>
    <n v="1.0780000000000001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x v="249"/>
    <x v="1"/>
    <s v="USD"/>
    <n v="1310792400"/>
    <n v="1311656400"/>
    <b v="0"/>
    <b v="1"/>
    <s v="games/video games"/>
    <n v="-0.48877551020408161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x v="50"/>
    <x v="0"/>
    <s v="CAD"/>
    <n v="1308546000"/>
    <n v="1308978000"/>
    <b v="0"/>
    <b v="1"/>
    <s v="music/indie rock"/>
    <n v="5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x v="536"/>
    <x v="0"/>
    <s v="CAD"/>
    <n v="1574056800"/>
    <n v="1576389600"/>
    <b v="0"/>
    <b v="0"/>
    <s v="publishing/fiction"/>
    <n v="0.13630994152046783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x v="15"/>
    <x v="2"/>
    <s v="AUD"/>
    <n v="1308373200"/>
    <n v="1311051600"/>
    <b v="0"/>
    <b v="0"/>
    <s v="theater/plays"/>
    <n v="2.376068376068376E-2"/>
    <n v="53"/>
    <x v="3"/>
    <s v="plays"/>
    <x v="766"/>
    <d v="2011-07-19T05:00:00"/>
  </r>
  <r>
    <n v="856"/>
    <s v="Williams and Sons"/>
    <s v="Profound composite core"/>
    <n v="2400"/>
    <n v="8558"/>
    <x v="1"/>
    <x v="1"/>
    <x v="1"/>
    <s v="USD"/>
    <n v="1335243600"/>
    <n v="1336712400"/>
    <b v="0"/>
    <b v="0"/>
    <s v="food/food trucks"/>
    <n v="2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x v="537"/>
    <x v="5"/>
    <s v="CHF"/>
    <n v="1328421600"/>
    <n v="1330408800"/>
    <b v="1"/>
    <b v="0"/>
    <s v="film &amp; video/shorts"/>
    <n v="0.39867924528301885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x v="164"/>
    <x v="1"/>
    <s v="USD"/>
    <n v="1524286800"/>
    <n v="1524891600"/>
    <b v="1"/>
    <b v="0"/>
    <s v="food/food trucks"/>
    <n v="-0.30549999999999999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x v="377"/>
    <x v="1"/>
    <s v="USD"/>
    <n v="1362117600"/>
    <n v="1363669200"/>
    <b v="0"/>
    <b v="1"/>
    <s v="theater/plays"/>
    <n v="-0.6446575342465753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x v="167"/>
    <x v="1"/>
    <s v="USD"/>
    <n v="1550556000"/>
    <n v="1551420000"/>
    <b v="0"/>
    <b v="1"/>
    <s v="technology/wearables"/>
    <n v="1.51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x v="25"/>
    <x v="1"/>
    <s v="USD"/>
    <n v="1269147600"/>
    <n v="1269838800"/>
    <b v="0"/>
    <b v="0"/>
    <s v="theater/plays"/>
    <n v="5.8749999999999997E-2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x v="72"/>
    <x v="1"/>
    <s v="USD"/>
    <n v="1312174800"/>
    <n v="1312520400"/>
    <b v="0"/>
    <b v="0"/>
    <s v="theater/plays"/>
    <n v="0.87428571428571433"/>
    <n v="77.17647058823529"/>
    <x v="3"/>
    <s v="plays"/>
    <x v="773"/>
    <d v="2011-08-05T05:00:00"/>
  </r>
  <r>
    <n v="863"/>
    <s v="Davis-Johnson"/>
    <s v="Automated reciprocal protocol"/>
    <n v="1400"/>
    <n v="5415"/>
    <x v="1"/>
    <x v="538"/>
    <x v="1"/>
    <s v="USD"/>
    <n v="1434517200"/>
    <n v="1436504400"/>
    <b v="0"/>
    <b v="1"/>
    <s v="film &amp; video/television"/>
    <n v="2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x v="503"/>
    <x v="1"/>
    <s v="USD"/>
    <n v="1471582800"/>
    <n v="1472014800"/>
    <b v="0"/>
    <b v="0"/>
    <s v="film &amp; video/shorts"/>
    <n v="2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x v="539"/>
    <x v="1"/>
    <s v="USD"/>
    <n v="1410757200"/>
    <n v="1411534800"/>
    <b v="0"/>
    <b v="0"/>
    <s v="theater/plays"/>
    <n v="0.85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x v="540"/>
    <x v="1"/>
    <s v="USD"/>
    <n v="1304830800"/>
    <n v="1304917200"/>
    <b v="0"/>
    <b v="0"/>
    <s v="photography/photography books"/>
    <n v="-0.56758752735229756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x v="402"/>
    <x v="1"/>
    <s v="USD"/>
    <n v="1539061200"/>
    <n v="1539579600"/>
    <b v="0"/>
    <b v="0"/>
    <s v="food/food trucks"/>
    <n v="0.62437500000000001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x v="105"/>
    <x v="1"/>
    <s v="USD"/>
    <n v="1381554000"/>
    <n v="1382504400"/>
    <b v="0"/>
    <b v="0"/>
    <s v="theater/plays"/>
    <n v="0.84842857142857142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x v="541"/>
    <x v="1"/>
    <s v="USD"/>
    <n v="1277096400"/>
    <n v="1278306000"/>
    <b v="0"/>
    <b v="0"/>
    <s v="film &amp; video/drama"/>
    <n v="-0.76296479308214948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x v="246"/>
    <x v="1"/>
    <s v="USD"/>
    <n v="1440392400"/>
    <n v="1442552400"/>
    <b v="0"/>
    <b v="0"/>
    <s v="theater/plays"/>
    <n v="-0.101298701298701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x v="542"/>
    <x v="1"/>
    <s v="USD"/>
    <n v="1509512400"/>
    <n v="1511071200"/>
    <b v="0"/>
    <b v="1"/>
    <s v="theater/plays"/>
    <n v="1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x v="543"/>
    <x v="2"/>
    <s v="AUD"/>
    <n v="1535950800"/>
    <n v="1536382800"/>
    <b v="0"/>
    <b v="0"/>
    <s v="film &amp; video/science fiction"/>
    <n v="0.7004255319148936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x v="544"/>
    <x v="1"/>
    <s v="USD"/>
    <n v="1389160800"/>
    <n v="1389592800"/>
    <b v="0"/>
    <b v="0"/>
    <s v="photography/photography books"/>
    <n v="0.8828503562945367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x v="545"/>
    <x v="1"/>
    <s v="USD"/>
    <n v="1271998800"/>
    <n v="1275282000"/>
    <b v="0"/>
    <b v="1"/>
    <s v="photography/photography books"/>
    <n v="2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x v="109"/>
    <x v="1"/>
    <s v="USD"/>
    <n v="1294898400"/>
    <n v="1294984800"/>
    <b v="0"/>
    <b v="0"/>
    <s v="music/rock"/>
    <n v="-0.3082278481012658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x v="176"/>
    <x v="0"/>
    <s v="CAD"/>
    <n v="1559970000"/>
    <n v="1562043600"/>
    <b v="0"/>
    <b v="0"/>
    <s v="photography/photography books"/>
    <n v="-0.74566265060240966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x v="546"/>
    <x v="1"/>
    <s v="USD"/>
    <n v="1469509200"/>
    <n v="1469595600"/>
    <b v="0"/>
    <b v="0"/>
    <s v="food/food trucks"/>
    <n v="-0.2259902200488997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x v="65"/>
    <x v="6"/>
    <s v="EUR"/>
    <n v="1579068000"/>
    <n v="1581141600"/>
    <b v="0"/>
    <b v="0"/>
    <s v="music/metal"/>
    <n v="-0.62518518518518518"/>
    <n v="84.333333333333329"/>
    <x v="1"/>
    <s v="metal"/>
    <x v="786"/>
    <d v="2020-02-08T06:00:00"/>
  </r>
  <r>
    <n v="879"/>
    <s v="Ortiz Inc"/>
    <s v="Stand-alone incremental parallelism"/>
    <n v="1000"/>
    <n v="5438"/>
    <x v="1"/>
    <x v="4"/>
    <x v="1"/>
    <s v="USD"/>
    <n v="1487743200"/>
    <n v="1488520800"/>
    <b v="0"/>
    <b v="0"/>
    <s v="publishing/nonfiction"/>
    <n v="4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x v="547"/>
    <x v="1"/>
    <s v="USD"/>
    <n v="1563685200"/>
    <n v="1563858000"/>
    <b v="0"/>
    <b v="0"/>
    <s v="music/electric music"/>
    <n v="1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x v="15"/>
    <x v="1"/>
    <s v="USD"/>
    <n v="1436418000"/>
    <n v="1438923600"/>
    <b v="0"/>
    <b v="1"/>
    <s v="theater/plays"/>
    <n v="-0.61051660516605166"/>
    <n v="70.055309734513273"/>
    <x v="3"/>
    <s v="plays"/>
    <x v="330"/>
    <d v="2015-08-07T05:00:00"/>
  </r>
  <r>
    <n v="882"/>
    <s v="White-Rosario"/>
    <s v="Balanced demand-driven definition"/>
    <n v="800"/>
    <n v="2960"/>
    <x v="1"/>
    <x v="175"/>
    <x v="1"/>
    <s v="USD"/>
    <n v="1421820000"/>
    <n v="1422165600"/>
    <b v="0"/>
    <b v="0"/>
    <s v="theater/plays"/>
    <n v="2.7"/>
    <n v="37"/>
    <x v="3"/>
    <s v="plays"/>
    <x v="789"/>
    <d v="2015-01-25T06:00:00"/>
  </r>
  <r>
    <n v="883"/>
    <s v="Simmons-Villarreal"/>
    <s v="Customer-focused mobile Graphic Interface"/>
    <n v="3400"/>
    <n v="8089"/>
    <x v="1"/>
    <x v="548"/>
    <x v="1"/>
    <s v="USD"/>
    <n v="1274763600"/>
    <n v="1277874000"/>
    <b v="0"/>
    <b v="0"/>
    <s v="film &amp; video/shorts"/>
    <n v="1.3791176470588236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x v="549"/>
    <x v="1"/>
    <s v="USD"/>
    <n v="1399179600"/>
    <n v="1399352400"/>
    <b v="0"/>
    <b v="1"/>
    <s v="theater/plays"/>
    <n v="-0.35963700234192036"/>
    <n v="57.992576882290564"/>
    <x v="3"/>
    <s v="plays"/>
    <x v="791"/>
    <d v="2014-05-06T05:00:00"/>
  </r>
  <r>
    <n v="885"/>
    <s v="Lynch Ltd"/>
    <s v="Virtual analyzing collaboration"/>
    <n v="1800"/>
    <n v="2129"/>
    <x v="1"/>
    <x v="550"/>
    <x v="1"/>
    <s v="USD"/>
    <n v="1275800400"/>
    <n v="1279083600"/>
    <b v="0"/>
    <b v="0"/>
    <s v="theater/plays"/>
    <n v="0.18277777777777779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x v="551"/>
    <x v="1"/>
    <s v="USD"/>
    <n v="1282798800"/>
    <n v="1284354000"/>
    <b v="0"/>
    <b v="0"/>
    <s v="music/indie rock"/>
    <n v="-0.1517596281540504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x v="249"/>
    <x v="1"/>
    <s v="USD"/>
    <n v="1437109200"/>
    <n v="1441170000"/>
    <b v="0"/>
    <b v="1"/>
    <s v="theater/plays"/>
    <n v="-0.70653846153846156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x v="552"/>
    <x v="1"/>
    <s v="USD"/>
    <n v="1491886800"/>
    <n v="1493528400"/>
    <b v="0"/>
    <b v="0"/>
    <s v="theater/plays"/>
    <n v="1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x v="393"/>
    <x v="1"/>
    <s v="USD"/>
    <n v="1394600400"/>
    <n v="1395205200"/>
    <b v="0"/>
    <b v="1"/>
    <s v="music/electric music"/>
    <n v="0.69785714285714284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x v="553"/>
    <x v="1"/>
    <s v="USD"/>
    <n v="1561352400"/>
    <n v="1561438800"/>
    <b v="0"/>
    <b v="0"/>
    <s v="music/indie rock"/>
    <n v="0.1595907738095238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x v="34"/>
    <x v="0"/>
    <s v="CAD"/>
    <n v="1322892000"/>
    <n v="1326693600"/>
    <b v="0"/>
    <b v="0"/>
    <s v="film &amp; video/documentary"/>
    <n v="1.5860000000000001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x v="554"/>
    <x v="1"/>
    <s v="USD"/>
    <n v="1274418000"/>
    <n v="1277960400"/>
    <b v="0"/>
    <b v="0"/>
    <s v="publishing/translations"/>
    <n v="1.3058333333333334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x v="134"/>
    <x v="6"/>
    <s v="EUR"/>
    <n v="1434344400"/>
    <n v="1434690000"/>
    <b v="0"/>
    <b v="1"/>
    <s v="film &amp; video/documentary"/>
    <n v="0.28214285714285714"/>
    <n v="54.120603015075375"/>
    <x v="4"/>
    <s v="documentary"/>
    <x v="800"/>
    <d v="2015-06-19T05:00:00"/>
  </r>
  <r>
    <n v="894"/>
    <s v="Barrett Inc"/>
    <s v="Organic cohesive neural-net"/>
    <n v="1700"/>
    <n v="3208"/>
    <x v="1"/>
    <x v="75"/>
    <x v="4"/>
    <s v="GBP"/>
    <n v="1373518800"/>
    <n v="1376110800"/>
    <b v="0"/>
    <b v="1"/>
    <s v="film &amp; video/television"/>
    <n v="0.88705882352941179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x v="37"/>
    <x v="1"/>
    <s v="USD"/>
    <n v="1517637600"/>
    <n v="1518415200"/>
    <b v="0"/>
    <b v="0"/>
    <s v="theater/plays"/>
    <n v="-0.93048811013767208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x v="555"/>
    <x v="2"/>
    <s v="AUD"/>
    <n v="1310619600"/>
    <n v="1310878800"/>
    <b v="0"/>
    <b v="1"/>
    <s v="food/food trucks"/>
    <n v="6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x v="11"/>
    <x v="1"/>
    <s v="USD"/>
    <n v="1556427600"/>
    <n v="1556600400"/>
    <b v="0"/>
    <b v="0"/>
    <s v="theater/plays"/>
    <n v="-0.72306818181818178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x v="556"/>
    <x v="1"/>
    <s v="USD"/>
    <n v="1576476000"/>
    <n v="1576994400"/>
    <b v="0"/>
    <b v="0"/>
    <s v="film &amp; video/documentary"/>
    <n v="-0.4752037967615857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x v="300"/>
    <x v="5"/>
    <s v="CHF"/>
    <n v="1381122000"/>
    <n v="1382677200"/>
    <b v="0"/>
    <b v="0"/>
    <s v="music/jazz"/>
    <n v="3.0709677419354837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x v="49"/>
    <x v="1"/>
    <s v="USD"/>
    <n v="1411102800"/>
    <n v="1411189200"/>
    <b v="0"/>
    <b v="1"/>
    <s v="technology/web"/>
    <n v="-0.98"/>
    <n v="2"/>
    <x v="2"/>
    <s v="web"/>
    <x v="806"/>
    <d v="2014-09-20T05:00:00"/>
  </r>
  <r>
    <n v="901"/>
    <s v="Hogan Group"/>
    <s v="Versatile bottom-line definition"/>
    <n v="5600"/>
    <n v="8746"/>
    <x v="1"/>
    <x v="122"/>
    <x v="1"/>
    <s v="USD"/>
    <n v="1531803600"/>
    <n v="1534654800"/>
    <b v="0"/>
    <b v="1"/>
    <s v="music/rock"/>
    <n v="0.5617857142857143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x v="460"/>
    <x v="1"/>
    <s v="USD"/>
    <n v="1454133600"/>
    <n v="1457762400"/>
    <b v="0"/>
    <b v="0"/>
    <s v="technology/web"/>
    <n v="1.5242857142857142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x v="443"/>
    <x v="1"/>
    <s v="USD"/>
    <n v="1336194000"/>
    <n v="1337490000"/>
    <b v="0"/>
    <b v="1"/>
    <s v="publishing/nonfiction"/>
    <n v="-0.9827073170731707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x v="36"/>
    <x v="1"/>
    <s v="USD"/>
    <n v="1349326800"/>
    <n v="1349672400"/>
    <b v="0"/>
    <b v="0"/>
    <s v="publishing/radio &amp; podcasts"/>
    <n v="-0.87769230769230766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x v="64"/>
    <x v="1"/>
    <s v="USD"/>
    <n v="1379566800"/>
    <n v="1379826000"/>
    <b v="0"/>
    <b v="0"/>
    <s v="theater/plays"/>
    <n v="0.63987341772151896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x v="271"/>
    <x v="1"/>
    <s v="USD"/>
    <n v="1494651600"/>
    <n v="1497762000"/>
    <b v="1"/>
    <b v="1"/>
    <s v="film &amp; video/documentary"/>
    <n v="0.62981818181818183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x v="142"/>
    <x v="1"/>
    <s v="USD"/>
    <n v="1303880400"/>
    <n v="1304485200"/>
    <b v="0"/>
    <b v="0"/>
    <s v="theater/plays"/>
    <n v="-0.7974725274725275"/>
    <n v="44.951219512195124"/>
    <x v="3"/>
    <s v="plays"/>
    <x v="809"/>
    <d v="2011-05-04T05:00:00"/>
  </r>
  <r>
    <n v="908"/>
    <s v="Bryant-Pope"/>
    <s v="Networked intangible help-desk"/>
    <n v="38200"/>
    <n v="121950"/>
    <x v="1"/>
    <x v="557"/>
    <x v="1"/>
    <s v="USD"/>
    <n v="1335934800"/>
    <n v="1336885200"/>
    <b v="0"/>
    <b v="0"/>
    <s v="games/video games"/>
    <n v="2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x v="175"/>
    <x v="0"/>
    <s v="CAD"/>
    <n v="1528088400"/>
    <n v="1530421200"/>
    <b v="0"/>
    <b v="1"/>
    <s v="theater/plays"/>
    <n v="3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x v="102"/>
    <x v="1"/>
    <s v="USD"/>
    <n v="1421906400"/>
    <n v="1421992800"/>
    <b v="0"/>
    <b v="0"/>
    <s v="theater/plays"/>
    <n v="-0.80443365695792879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x v="558"/>
    <x v="1"/>
    <s v="USD"/>
    <n v="1568005200"/>
    <n v="1568178000"/>
    <b v="1"/>
    <b v="0"/>
    <s v="technology/web"/>
    <n v="0.98948275862068968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x v="559"/>
    <x v="1"/>
    <s v="USD"/>
    <n v="1346821200"/>
    <n v="1347944400"/>
    <b v="1"/>
    <b v="0"/>
    <s v="film &amp; video/drama"/>
    <n v="6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x v="560"/>
    <x v="2"/>
    <s v="AUD"/>
    <n v="1557637200"/>
    <n v="1558760400"/>
    <b v="0"/>
    <b v="0"/>
    <s v="film &amp; video/drama"/>
    <n v="-0.4937891737891738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x v="561"/>
    <x v="4"/>
    <s v="GBP"/>
    <n v="1375592400"/>
    <n v="1376629200"/>
    <b v="0"/>
    <b v="0"/>
    <s v="theater/plays"/>
    <n v="-0.42562499999999998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x v="562"/>
    <x v="4"/>
    <s v="GBP"/>
    <n v="1503982800"/>
    <n v="1504760400"/>
    <b v="0"/>
    <b v="0"/>
    <s v="film &amp; video/television"/>
    <n v="0.55628276409849087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x v="550"/>
    <x v="1"/>
    <s v="USD"/>
    <n v="1418882400"/>
    <n v="1419660000"/>
    <b v="0"/>
    <b v="0"/>
    <s v="photography/photography books"/>
    <n v="-0.63702702702702707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x v="11"/>
    <x v="4"/>
    <s v="GBP"/>
    <n v="1309237200"/>
    <n v="1311310800"/>
    <b v="0"/>
    <b v="1"/>
    <s v="film &amp; video/shorts"/>
    <n v="-0.41749999999999998"/>
    <n v="77.666666666666671"/>
    <x v="4"/>
    <s v="shorts"/>
    <x v="816"/>
    <d v="2011-07-22T05:00:00"/>
  </r>
  <r>
    <n v="918"/>
    <s v="Jones-Gonzalez"/>
    <s v="Seamless dynamic website"/>
    <n v="3800"/>
    <n v="9021"/>
    <x v="1"/>
    <x v="388"/>
    <x v="5"/>
    <s v="CHF"/>
    <n v="1343365200"/>
    <n v="1344315600"/>
    <b v="0"/>
    <b v="0"/>
    <s v="publishing/radio &amp; podcasts"/>
    <n v="1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x v="537"/>
    <x v="2"/>
    <s v="AUD"/>
    <n v="1507957200"/>
    <n v="1510725600"/>
    <b v="0"/>
    <b v="1"/>
    <s v="theater/plays"/>
    <n v="-0.41249999999999998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x v="563"/>
    <x v="1"/>
    <s v="USD"/>
    <n v="1549519200"/>
    <n v="1551247200"/>
    <b v="1"/>
    <b v="0"/>
    <s v="film &amp; video/animation"/>
    <n v="0.82566037735849052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x v="63"/>
    <x v="1"/>
    <s v="USD"/>
    <n v="1329026400"/>
    <n v="1330236000"/>
    <b v="0"/>
    <b v="0"/>
    <s v="technology/web"/>
    <n v="-0.99245635910224439"/>
    <n v="31.842105263157894"/>
    <x v="2"/>
    <s v="web"/>
    <x v="819"/>
    <d v="2012-02-26T06:00:00"/>
  </r>
  <r>
    <n v="922"/>
    <s v="Soto-Anthony"/>
    <s v="Ameliorated logistical capability"/>
    <n v="51400"/>
    <n v="90440"/>
    <x v="1"/>
    <x v="564"/>
    <x v="1"/>
    <s v="USD"/>
    <n v="1544335200"/>
    <n v="1545112800"/>
    <b v="0"/>
    <b v="1"/>
    <s v="music/world music"/>
    <n v="0.75953307392996106"/>
    <n v="40"/>
    <x v="1"/>
    <s v="world music"/>
    <x v="609"/>
    <d v="2018-12-18T06:00:00"/>
  </r>
  <r>
    <n v="923"/>
    <s v="Wise and Sons"/>
    <s v="Sharable discrete definition"/>
    <n v="1700"/>
    <n v="4044"/>
    <x v="1"/>
    <x v="174"/>
    <x v="1"/>
    <s v="USD"/>
    <n v="1279083600"/>
    <n v="1279170000"/>
    <b v="0"/>
    <b v="0"/>
    <s v="theater/plays"/>
    <n v="1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x v="565"/>
    <x v="6"/>
    <s v="EUR"/>
    <n v="1572498000"/>
    <n v="1573452000"/>
    <b v="0"/>
    <b v="0"/>
    <s v="theater/plays"/>
    <n v="3.8805076142131978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x v="167"/>
    <x v="1"/>
    <s v="USD"/>
    <n v="1506056400"/>
    <n v="1507093200"/>
    <b v="0"/>
    <b v="0"/>
    <s v="theater/plays"/>
    <n v="1.2406666666666666"/>
    <n v="103.41538461538461"/>
    <x v="3"/>
    <s v="plays"/>
    <x v="821"/>
    <d v="2017-10-04T05:00:00"/>
  </r>
  <r>
    <n v="926"/>
    <s v="Brown-Oliver"/>
    <s v="Synchronized cohesive encoding"/>
    <n v="8700"/>
    <n v="1577"/>
    <x v="0"/>
    <x v="27"/>
    <x v="1"/>
    <s v="USD"/>
    <n v="1463029200"/>
    <n v="1463374800"/>
    <b v="0"/>
    <b v="0"/>
    <s v="food/food trucks"/>
    <n v="-0.81873563218390799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x v="95"/>
    <x v="1"/>
    <s v="USD"/>
    <n v="1342069200"/>
    <n v="1344574800"/>
    <b v="0"/>
    <b v="0"/>
    <s v="theater/plays"/>
    <n v="-0.5415277777777778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x v="566"/>
    <x v="6"/>
    <s v="EUR"/>
    <n v="1388296800"/>
    <n v="1389074400"/>
    <b v="0"/>
    <b v="0"/>
    <s v="technology/web"/>
    <n v="0.17315412186379928"/>
    <n v="51.995234312946785"/>
    <x v="2"/>
    <s v="web"/>
    <x v="823"/>
    <d v="2014-01-07T06:00:00"/>
  </r>
  <r>
    <n v="929"/>
    <s v="Turner-Terrell"/>
    <s v="Polarized tertiary function"/>
    <n v="5500"/>
    <n v="11952"/>
    <x v="1"/>
    <x v="229"/>
    <x v="4"/>
    <s v="GBP"/>
    <n v="1493787600"/>
    <n v="1494997200"/>
    <b v="0"/>
    <b v="0"/>
    <s v="theater/plays"/>
    <n v="1.1730909090909092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x v="72"/>
    <x v="1"/>
    <s v="USD"/>
    <n v="1424844000"/>
    <n v="1425448800"/>
    <b v="0"/>
    <b v="1"/>
    <s v="theater/plays"/>
    <n v="0.12285714285714286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x v="192"/>
    <x v="1"/>
    <s v="USD"/>
    <n v="1403931600"/>
    <n v="1404104400"/>
    <b v="0"/>
    <b v="1"/>
    <s v="theater/plays"/>
    <n v="-0.27481012658227849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x v="358"/>
    <x v="1"/>
    <s v="USD"/>
    <n v="1394514000"/>
    <n v="1394773200"/>
    <b v="0"/>
    <b v="0"/>
    <s v="music/rock"/>
    <n v="1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x v="567"/>
    <x v="1"/>
    <s v="USD"/>
    <n v="1365397200"/>
    <n v="1366520400"/>
    <b v="0"/>
    <b v="0"/>
    <s v="theater/plays"/>
    <n v="1.3974657534246575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x v="339"/>
    <x v="1"/>
    <s v="USD"/>
    <n v="1456120800"/>
    <n v="1456639200"/>
    <b v="0"/>
    <b v="0"/>
    <s v="theater/plays"/>
    <n v="0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x v="227"/>
    <x v="1"/>
    <s v="USD"/>
    <n v="1437714000"/>
    <n v="1438318800"/>
    <b v="0"/>
    <b v="0"/>
    <s v="theater/plays"/>
    <n v="0.64131147540983602"/>
    <n v="75.848484848484844"/>
    <x v="3"/>
    <s v="plays"/>
    <x v="830"/>
    <d v="2015-07-31T05:00:00"/>
  </r>
  <r>
    <n v="936"/>
    <s v="Brown Ltd"/>
    <s v="Enhanced composite contingency"/>
    <n v="103200"/>
    <n v="1690"/>
    <x v="0"/>
    <x v="356"/>
    <x v="1"/>
    <s v="USD"/>
    <n v="1563771600"/>
    <n v="1564030800"/>
    <b v="1"/>
    <b v="0"/>
    <s v="theater/plays"/>
    <n v="-0.98362403100775198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x v="568"/>
    <x v="1"/>
    <s v="USD"/>
    <n v="1448517600"/>
    <n v="1449295200"/>
    <b v="0"/>
    <b v="0"/>
    <s v="film &amp; video/documentary"/>
    <n v="-0.50356140350877188"/>
    <n v="86.978483606557376"/>
    <x v="4"/>
    <s v="documentary"/>
    <x v="832"/>
    <d v="2015-12-05T06:00:00"/>
  </r>
  <r>
    <n v="938"/>
    <s v="Allen Inc"/>
    <s v="Total dedicated benchmark"/>
    <n v="9200"/>
    <n v="10093"/>
    <x v="1"/>
    <x v="87"/>
    <x v="1"/>
    <s v="USD"/>
    <n v="1528779600"/>
    <n v="1531890000"/>
    <b v="0"/>
    <b v="1"/>
    <s v="publishing/fiction"/>
    <n v="9.7065217391304345E-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x v="109"/>
    <x v="1"/>
    <s v="USD"/>
    <n v="1304744400"/>
    <n v="1306213200"/>
    <b v="0"/>
    <b v="1"/>
    <s v="games/video games"/>
    <n v="-0.50782051282051277"/>
    <n v="57.298507462686565"/>
    <x v="6"/>
    <s v="video games"/>
    <x v="834"/>
    <d v="2011-05-24T05:00:00"/>
  </r>
  <r>
    <n v="940"/>
    <s v="Wiggins Ltd"/>
    <s v="Upgradable analyzing core"/>
    <n v="9900"/>
    <n v="6161"/>
    <x v="2"/>
    <x v="569"/>
    <x v="0"/>
    <s v="CAD"/>
    <n v="1354341600"/>
    <n v="1356242400"/>
    <b v="0"/>
    <b v="0"/>
    <s v="technology/web"/>
    <n v="-0.37767676767676767"/>
    <n v="93.348484848484844"/>
    <x v="2"/>
    <s v="web"/>
    <x v="835"/>
    <d v="2012-12-23T06:00:00"/>
  </r>
  <r>
    <n v="941"/>
    <s v="Luna-Horne"/>
    <s v="Profound exuding pricing structure"/>
    <n v="43000"/>
    <n v="5615"/>
    <x v="0"/>
    <x v="373"/>
    <x v="1"/>
    <s v="USD"/>
    <n v="1294552800"/>
    <n v="1297576800"/>
    <b v="1"/>
    <b v="0"/>
    <s v="theater/plays"/>
    <n v="-0.86941860465116283"/>
    <n v="71.987179487179489"/>
    <x v="3"/>
    <s v="plays"/>
    <x v="836"/>
    <d v="2011-02-13T06:00:00"/>
  </r>
  <r>
    <n v="942"/>
    <s v="Allen Inc"/>
    <s v="Horizontal optimizing model"/>
    <n v="9600"/>
    <n v="6205"/>
    <x v="0"/>
    <x v="109"/>
    <x v="2"/>
    <s v="AUD"/>
    <n v="1295935200"/>
    <n v="1296194400"/>
    <b v="0"/>
    <b v="0"/>
    <s v="theater/plays"/>
    <n v="-0.35364583333333333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x v="493"/>
    <x v="1"/>
    <s v="USD"/>
    <n v="1411534800"/>
    <n v="1414558800"/>
    <b v="0"/>
    <b v="0"/>
    <s v="food/food trucks"/>
    <n v="0.59586666666666666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x v="570"/>
    <x v="2"/>
    <s v="AUD"/>
    <n v="1486706400"/>
    <n v="1488348000"/>
    <b v="0"/>
    <b v="0"/>
    <s v="photography/photography books"/>
    <n v="-0.18579999999999999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x v="571"/>
    <x v="1"/>
    <s v="USD"/>
    <n v="1333602000"/>
    <n v="1334898000"/>
    <b v="1"/>
    <b v="0"/>
    <s v="photography/photography books"/>
    <n v="-0.6755523255813953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x v="483"/>
    <x v="1"/>
    <s v="USD"/>
    <n v="1308200400"/>
    <n v="1308373200"/>
    <b v="0"/>
    <b v="0"/>
    <s v="theater/plays"/>
    <n v="-0.9008588158750813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x v="171"/>
    <x v="1"/>
    <s v="USD"/>
    <n v="1411707600"/>
    <n v="1412312400"/>
    <b v="0"/>
    <b v="0"/>
    <s v="theater/plays"/>
    <n v="-0.73305555555555557"/>
    <n v="73.92307692307692"/>
    <x v="3"/>
    <s v="plays"/>
    <x v="840"/>
    <d v="2014-10-03T05:00:00"/>
  </r>
  <r>
    <n v="948"/>
    <s v="Smith-Hill"/>
    <s v="Integrated holistic paradigm"/>
    <n v="9400"/>
    <n v="5918"/>
    <x v="3"/>
    <x v="415"/>
    <x v="1"/>
    <s v="USD"/>
    <n v="1418364000"/>
    <n v="1419228000"/>
    <b v="1"/>
    <b v="1"/>
    <s v="film &amp; video/documentary"/>
    <n v="-0.37042553191489364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x v="84"/>
    <x v="1"/>
    <s v="USD"/>
    <n v="1429333200"/>
    <n v="1430974800"/>
    <b v="0"/>
    <b v="0"/>
    <s v="technology/web"/>
    <n v="0.61355932203389829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x v="49"/>
    <x v="1"/>
    <s v="USD"/>
    <n v="1555390800"/>
    <n v="1555822800"/>
    <b v="0"/>
    <b v="1"/>
    <s v="theater/plays"/>
    <n v="-0.95"/>
    <n v="5"/>
    <x v="3"/>
    <s v="plays"/>
    <x v="843"/>
    <d v="2019-04-21T05:00:00"/>
  </r>
  <r>
    <n v="951"/>
    <s v="Peterson Ltd"/>
    <s v="Re-engineered 24hour matrix"/>
    <n v="14500"/>
    <n v="159056"/>
    <x v="1"/>
    <x v="572"/>
    <x v="1"/>
    <s v="USD"/>
    <n v="1482732000"/>
    <n v="1482818400"/>
    <b v="0"/>
    <b v="1"/>
    <s v="music/rock"/>
    <n v="9.9693793103448272"/>
    <n v="102.02437459910199"/>
    <x v="1"/>
    <s v="rock"/>
    <x v="844"/>
    <d v="2016-12-27T06:00:00"/>
  </r>
  <r>
    <n v="952"/>
    <s v="Cummings-Hayes"/>
    <s v="Virtual multi-tasking core"/>
    <n v="145500"/>
    <n v="101987"/>
    <x v="3"/>
    <x v="428"/>
    <x v="1"/>
    <s v="USD"/>
    <n v="1470718800"/>
    <n v="1471928400"/>
    <b v="0"/>
    <b v="0"/>
    <s v="film &amp; video/documentary"/>
    <n v="-0.29905841924398624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x v="356"/>
    <x v="1"/>
    <s v="USD"/>
    <n v="1450591200"/>
    <n v="1453701600"/>
    <b v="0"/>
    <b v="1"/>
    <s v="film &amp; video/science fiction"/>
    <n v="-0.4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x v="573"/>
    <x v="2"/>
    <s v="AUD"/>
    <n v="1348290000"/>
    <n v="1350363600"/>
    <b v="0"/>
    <b v="0"/>
    <s v="technology/web"/>
    <n v="2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x v="175"/>
    <x v="1"/>
    <s v="USD"/>
    <n v="1353823200"/>
    <n v="1353996000"/>
    <b v="0"/>
    <b v="0"/>
    <s v="theater/plays"/>
    <n v="10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x v="268"/>
    <x v="1"/>
    <s v="USD"/>
    <n v="1450764000"/>
    <n v="1451109600"/>
    <b v="0"/>
    <b v="0"/>
    <s v="film &amp; video/science fiction"/>
    <n v="-0.80971215351812365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x v="54"/>
    <x v="1"/>
    <s v="USD"/>
    <n v="1329372000"/>
    <n v="1329631200"/>
    <b v="0"/>
    <b v="0"/>
    <s v="theater/plays"/>
    <n v="0.26877551020408164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x v="192"/>
    <x v="1"/>
    <s v="USD"/>
    <n v="1277096400"/>
    <n v="1278997200"/>
    <b v="0"/>
    <b v="0"/>
    <s v="film &amp; video/animation"/>
    <n v="6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x v="406"/>
    <x v="1"/>
    <s v="USD"/>
    <n v="1277701200"/>
    <n v="1280120400"/>
    <b v="0"/>
    <b v="0"/>
    <s v="publishing/translations"/>
    <n v="-0.95426896551724139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x v="12"/>
    <x v="1"/>
    <s v="USD"/>
    <n v="1454911200"/>
    <n v="1458104400"/>
    <b v="0"/>
    <b v="0"/>
    <s v="technology/web"/>
    <n v="-0.14945454545454545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x v="287"/>
    <x v="1"/>
    <s v="USD"/>
    <n v="1297922400"/>
    <n v="1298268000"/>
    <b v="0"/>
    <b v="0"/>
    <s v="publishing/translations"/>
    <n v="0.19298245614035087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x v="574"/>
    <x v="1"/>
    <s v="USD"/>
    <n v="1384408800"/>
    <n v="1386223200"/>
    <b v="0"/>
    <b v="0"/>
    <s v="food/food trucks"/>
    <n v="1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x v="493"/>
    <x v="6"/>
    <s v="EUR"/>
    <n v="1299304800"/>
    <n v="1299823200"/>
    <b v="0"/>
    <b v="1"/>
    <s v="photography/photography books"/>
    <n v="-0.15305084745762712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x v="287"/>
    <x v="1"/>
    <s v="USD"/>
    <n v="1431320400"/>
    <n v="1431752400"/>
    <b v="0"/>
    <b v="0"/>
    <s v="theater/plays"/>
    <n v="2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x v="512"/>
    <x v="4"/>
    <s v="GBP"/>
    <n v="1264399200"/>
    <n v="1267855200"/>
    <b v="0"/>
    <b v="0"/>
    <s v="music/rock"/>
    <n v="2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x v="242"/>
    <x v="1"/>
    <s v="USD"/>
    <n v="1497502800"/>
    <n v="1497675600"/>
    <b v="0"/>
    <b v="0"/>
    <s v="theater/plays"/>
    <n v="6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x v="575"/>
    <x v="1"/>
    <s v="USD"/>
    <n v="1333688400"/>
    <n v="1336885200"/>
    <b v="0"/>
    <b v="0"/>
    <s v="music/world music"/>
    <n v="0.3703393665158371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x v="493"/>
    <x v="1"/>
    <s v="USD"/>
    <n v="1293861600"/>
    <n v="1295157600"/>
    <b v="0"/>
    <b v="0"/>
    <s v="food/food trucks"/>
    <n v="2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x v="576"/>
    <x v="1"/>
    <s v="USD"/>
    <n v="1576994400"/>
    <n v="1577599200"/>
    <b v="0"/>
    <b v="0"/>
    <s v="theater/plays"/>
    <n v="8.2278481012658222E-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x v="577"/>
    <x v="1"/>
    <s v="USD"/>
    <n v="1304917200"/>
    <n v="1305003600"/>
    <b v="0"/>
    <b v="0"/>
    <s v="theater/plays"/>
    <n v="-0.3924236037934668"/>
    <n v="97.069023569023571"/>
    <x v="3"/>
    <s v="plays"/>
    <x v="857"/>
    <d v="2011-05-10T05:00:00"/>
  </r>
  <r>
    <n v="971"/>
    <s v="Garner and Sons"/>
    <s v="Versatile neutral workforce"/>
    <n v="5100"/>
    <n v="1414"/>
    <x v="0"/>
    <x v="3"/>
    <x v="1"/>
    <s v="USD"/>
    <n v="1381208400"/>
    <n v="1381726800"/>
    <b v="0"/>
    <b v="0"/>
    <s v="film &amp; video/television"/>
    <n v="-0.7227450980392157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x v="578"/>
    <x v="1"/>
    <s v="USD"/>
    <n v="1401685200"/>
    <n v="1402462800"/>
    <b v="0"/>
    <b v="1"/>
    <s v="technology/web"/>
    <n v="1.2839344262295083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x v="526"/>
    <x v="1"/>
    <s v="USD"/>
    <n v="1291960800"/>
    <n v="1292133600"/>
    <b v="0"/>
    <b v="1"/>
    <s v="theater/plays"/>
    <n v="-0.78384805945499592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x v="235"/>
    <x v="1"/>
    <s v="USD"/>
    <n v="1368853200"/>
    <n v="1368939600"/>
    <b v="0"/>
    <b v="0"/>
    <s v="music/indie rock"/>
    <n v="2.73875"/>
    <n v="93.46875"/>
    <x v="1"/>
    <s v="indie rock"/>
    <x v="170"/>
    <d v="2013-05-19T05:00:00"/>
  </r>
  <r>
    <n v="975"/>
    <s v="Ayala Group"/>
    <s v="Right-sized maximized migration"/>
    <n v="5400"/>
    <n v="8366"/>
    <x v="1"/>
    <x v="18"/>
    <x v="1"/>
    <s v="USD"/>
    <n v="1448776800"/>
    <n v="1452146400"/>
    <b v="0"/>
    <b v="1"/>
    <s v="theater/plays"/>
    <n v="0.5492592592592592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x v="382"/>
    <x v="1"/>
    <s v="USD"/>
    <n v="1296194400"/>
    <n v="1296712800"/>
    <b v="0"/>
    <b v="1"/>
    <s v="theater/plays"/>
    <n v="2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x v="109"/>
    <x v="1"/>
    <s v="USD"/>
    <n v="1517983200"/>
    <n v="1520748000"/>
    <b v="0"/>
    <b v="0"/>
    <s v="food/food trucks"/>
    <n v="-0.2604285714285714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x v="45"/>
    <x v="1"/>
    <s v="USD"/>
    <n v="1478930400"/>
    <n v="1480831200"/>
    <b v="0"/>
    <b v="0"/>
    <s v="games/video games"/>
    <n v="7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x v="579"/>
    <x v="4"/>
    <s v="GBP"/>
    <n v="1426395600"/>
    <n v="1426914000"/>
    <b v="0"/>
    <b v="0"/>
    <s v="theater/plays"/>
    <n v="0.43262458471760795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x v="580"/>
    <x v="1"/>
    <s v="USD"/>
    <n v="1446181200"/>
    <n v="1446616800"/>
    <b v="1"/>
    <b v="0"/>
    <s v="publishing/nonfiction"/>
    <n v="-0.59718237704918031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x v="581"/>
    <x v="1"/>
    <s v="USD"/>
    <n v="1514181600"/>
    <n v="1517032800"/>
    <b v="0"/>
    <b v="0"/>
    <s v="technology/web"/>
    <n v="0.78223880597014928"/>
    <n v="36.969040247678016"/>
    <x v="2"/>
    <s v="web"/>
    <x v="866"/>
    <d v="2018-01-27T06:00:00"/>
  </r>
  <r>
    <n v="982"/>
    <s v="Freeman-French"/>
    <s v="Multi-layered optimal application"/>
    <n v="7200"/>
    <n v="6115"/>
    <x v="0"/>
    <x v="51"/>
    <x v="1"/>
    <s v="USD"/>
    <n v="1311051600"/>
    <n v="1311224400"/>
    <b v="0"/>
    <b v="1"/>
    <s v="film &amp; video/documentary"/>
    <n v="-0.1506944444444444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x v="582"/>
    <x v="1"/>
    <s v="USD"/>
    <n v="1564894800"/>
    <n v="1566190800"/>
    <b v="0"/>
    <b v="0"/>
    <s v="film &amp; video/documentary"/>
    <n v="0.459364833462432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x v="345"/>
    <x v="1"/>
    <s v="USD"/>
    <n v="1567918800"/>
    <n v="1570165200"/>
    <b v="0"/>
    <b v="0"/>
    <s v="theater/plays"/>
    <n v="0.52461538461538459"/>
    <n v="26.010498687664043"/>
    <x v="3"/>
    <s v="plays"/>
    <x v="105"/>
    <d v="2019-10-04T05:00:00"/>
  </r>
  <r>
    <n v="985"/>
    <s v="Logan-Curtis"/>
    <s v="Enhanced optimal ability"/>
    <n v="170600"/>
    <n v="114523"/>
    <x v="0"/>
    <x v="583"/>
    <x v="1"/>
    <s v="USD"/>
    <n v="1386309600"/>
    <n v="1388556000"/>
    <b v="0"/>
    <b v="1"/>
    <s v="music/rock"/>
    <n v="-0.3287045720984759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x v="45"/>
    <x v="1"/>
    <s v="USD"/>
    <n v="1301979600"/>
    <n v="1303189200"/>
    <b v="0"/>
    <b v="0"/>
    <s v="music/rock"/>
    <n v="-0.59692307692307689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x v="584"/>
    <x v="1"/>
    <s v="USD"/>
    <n v="1493269200"/>
    <n v="1494478800"/>
    <b v="0"/>
    <b v="0"/>
    <s v="film &amp; video/documentary"/>
    <n v="1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x v="251"/>
    <x v="1"/>
    <s v="USD"/>
    <n v="1478930400"/>
    <n v="1480744800"/>
    <b v="0"/>
    <b v="0"/>
    <s v="publishing/radio &amp; podcasts"/>
    <n v="-0.47882978723404257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x v="31"/>
    <x v="1"/>
    <s v="USD"/>
    <n v="1555390800"/>
    <n v="1555822800"/>
    <b v="0"/>
    <b v="0"/>
    <s v="publishing/translations"/>
    <n v="3.9958333333333331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x v="251"/>
    <x v="1"/>
    <s v="USD"/>
    <n v="1456984800"/>
    <n v="1458882000"/>
    <b v="0"/>
    <b v="1"/>
    <s v="film &amp; video/drama"/>
    <n v="-0.1232051282051282"/>
    <n v="106.859375"/>
    <x v="4"/>
    <s v="drama"/>
    <x v="289"/>
    <d v="2016-03-25T05:00:00"/>
  </r>
  <r>
    <n v="991"/>
    <s v="Ramirez LLC"/>
    <s v="Reduced reciprocal focus group"/>
    <n v="9800"/>
    <n v="11091"/>
    <x v="1"/>
    <x v="585"/>
    <x v="1"/>
    <s v="USD"/>
    <n v="1411621200"/>
    <n v="1411966800"/>
    <b v="0"/>
    <b v="1"/>
    <s v="music/rock"/>
    <n v="0.13173469387755102"/>
    <n v="46.020746887966808"/>
    <x v="1"/>
    <s v="rock"/>
    <x v="870"/>
    <d v="2014-09-29T05:00:00"/>
  </r>
  <r>
    <n v="992"/>
    <s v="Morrow Inc"/>
    <s v="Networked global migration"/>
    <n v="3100"/>
    <n v="13223"/>
    <x v="1"/>
    <x v="227"/>
    <x v="1"/>
    <s v="USD"/>
    <n v="1525669200"/>
    <n v="1526878800"/>
    <b v="0"/>
    <b v="1"/>
    <s v="film &amp; video/drama"/>
    <n v="3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x v="51"/>
    <x v="6"/>
    <s v="EUR"/>
    <n v="1450936800"/>
    <n v="1452405600"/>
    <b v="0"/>
    <b v="1"/>
    <s v="photography/photography books"/>
    <n v="-0.22367346938775509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x v="586"/>
    <x v="1"/>
    <s v="USD"/>
    <n v="1413522000"/>
    <n v="1414040400"/>
    <b v="0"/>
    <b v="1"/>
    <s v="publishing/translations"/>
    <n v="-0.4750318922749822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x v="587"/>
    <x v="1"/>
    <s v="USD"/>
    <n v="1541307600"/>
    <n v="1543816800"/>
    <b v="0"/>
    <b v="1"/>
    <s v="food/food trucks"/>
    <n v="0.57467625899280572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x v="192"/>
    <x v="1"/>
    <s v="USD"/>
    <n v="1357106400"/>
    <n v="1359698400"/>
    <b v="0"/>
    <b v="0"/>
    <s v="theater/plays"/>
    <n v="-0.27060606060606063"/>
    <n v="42.982142857142854"/>
    <x v="3"/>
    <s v="plays"/>
    <x v="875"/>
    <d v="2013-02-01T06:00:00"/>
  </r>
  <r>
    <n v="997"/>
    <s v="Ball LLC"/>
    <s v="Right-sized full-range throughput"/>
    <n v="7600"/>
    <n v="4603"/>
    <x v="3"/>
    <x v="279"/>
    <x v="6"/>
    <s v="EUR"/>
    <n v="1390197600"/>
    <n v="1390629600"/>
    <b v="0"/>
    <b v="0"/>
    <s v="theater/plays"/>
    <n v="-0.39434210526315788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x v="82"/>
    <x v="1"/>
    <s v="USD"/>
    <n v="1265868000"/>
    <n v="1267077600"/>
    <b v="0"/>
    <b v="1"/>
    <s v="music/indie rock"/>
    <n v="-0.4320870870870871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x v="588"/>
    <x v="1"/>
    <s v="USD"/>
    <n v="1467176400"/>
    <n v="1467781200"/>
    <b v="0"/>
    <b v="0"/>
    <s v="food/food trucks"/>
    <n v="-0.43457245724572457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0E674D-7D25-4364-AD88-C75BF276320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Row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C7D11-0630-4B70-A771-3BF3DEA8449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3A9BA3-A95C-475F-BAD0-5426C1B47998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="115" zoomScaleNormal="115" workbookViewId="0">
      <selection activeCell="B10" sqref="B10"/>
    </sheetView>
  </sheetViews>
  <sheetFormatPr defaultColWidth="11" defaultRowHeight="15.5" x14ac:dyDescent="0.35"/>
  <cols>
    <col min="1" max="1" width="4.08203125" bestFit="1" customWidth="1"/>
    <col min="2" max="2" width="30.58203125" bestFit="1" customWidth="1"/>
    <col min="3" max="3" width="33.5" style="3" customWidth="1"/>
    <col min="7" max="7" width="13" bestFit="1" customWidth="1"/>
    <col min="10" max="11" width="11.08203125" bestFit="1" customWidth="1"/>
    <col min="14" max="14" width="28" bestFit="1" customWidth="1"/>
    <col min="15" max="15" width="18.5" style="16" bestFit="1" customWidth="1"/>
    <col min="16" max="16" width="16.5" style="18" bestFit="1" customWidth="1"/>
    <col min="18" max="18" width="16.33203125" bestFit="1" customWidth="1"/>
    <col min="19" max="19" width="22.83203125" bestFit="1" customWidth="1"/>
  </cols>
  <sheetData>
    <row r="1" spans="1:20" s="1" customFormat="1" ht="3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5" t="s">
        <v>2029</v>
      </c>
      <c r="P1" s="17" t="s">
        <v>2030</v>
      </c>
      <c r="Q1" s="2" t="s">
        <v>2031</v>
      </c>
      <c r="R1" s="2" t="s">
        <v>2032</v>
      </c>
      <c r="S1" s="1" t="s">
        <v>2071</v>
      </c>
      <c r="T1" s="1" t="s">
        <v>2072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6">
        <f>ROUND(E2/D2*100,0)</f>
        <v>0</v>
      </c>
      <c r="P2" s="18">
        <f>IFERROR(E2/G2,0)</f>
        <v>0</v>
      </c>
      <c r="Q2" t="str" cm="1">
        <f t="array" ref="Q2:R2">_xlfn.TEXTSPLIT(N2,"/")</f>
        <v>food</v>
      </c>
      <c r="R2" t="str">
        <v>food trucks</v>
      </c>
      <c r="S2" s="6">
        <f>(((J2/60)/60)/24)+DATE(1970,1,1)</f>
        <v>42336.25</v>
      </c>
      <c r="T2" s="6">
        <f>(((K2/60)/60)/24)+DATE(1970,1,1)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16">
        <f t="shared" ref="O3:O66" si="0">ROUND(E3/D3*100,0)</f>
        <v>1040</v>
      </c>
      <c r="P3" s="18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6">
        <f t="shared" ref="S3:S66" si="2">(((J3/60)/60)/24)+DATE(1970,1,1)</f>
        <v>41870.208333333336</v>
      </c>
      <c r="T3" s="6">
        <f t="shared" ref="T3:T66" si="3">(((K3/60)/60)/24)+DATE(1970,1,1)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16">
        <f t="shared" si="0"/>
        <v>131</v>
      </c>
      <c r="P4" s="18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6">
        <f t="shared" si="2"/>
        <v>41595.25</v>
      </c>
      <c r="T4" s="6">
        <f t="shared" si="3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16">
        <f t="shared" si="0"/>
        <v>59</v>
      </c>
      <c r="P5" s="18">
        <f t="shared" si="1"/>
        <v>103.20833333333333</v>
      </c>
      <c r="Q5" t="str" cm="1">
        <f t="array" ref="Q5:R5">_xlfn.TEXTSPLIT(N5,"/")</f>
        <v>music</v>
      </c>
      <c r="R5" t="str">
        <v>rock</v>
      </c>
      <c r="S5" s="6">
        <f t="shared" si="2"/>
        <v>43688.208333333328</v>
      </c>
      <c r="T5" s="6">
        <f t="shared" si="3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16">
        <f t="shared" si="0"/>
        <v>69</v>
      </c>
      <c r="P6" s="18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6">
        <f t="shared" si="2"/>
        <v>43485.25</v>
      </c>
      <c r="T6" s="6">
        <f t="shared" si="3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16">
        <f t="shared" si="0"/>
        <v>174</v>
      </c>
      <c r="P7" s="18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6">
        <f t="shared" si="2"/>
        <v>41149.208333333336</v>
      </c>
      <c r="T7" s="6">
        <f t="shared" si="3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16">
        <f t="shared" si="0"/>
        <v>21</v>
      </c>
      <c r="P8" s="1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6">
        <f t="shared" si="2"/>
        <v>42991.208333333328</v>
      </c>
      <c r="T8" s="6">
        <f t="shared" si="3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16">
        <f t="shared" si="0"/>
        <v>328</v>
      </c>
      <c r="P9" s="18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6">
        <f t="shared" si="2"/>
        <v>42229.208333333328</v>
      </c>
      <c r="T9" s="6">
        <f t="shared" si="3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6">
        <f t="shared" si="0"/>
        <v>20</v>
      </c>
      <c r="P10" s="18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6">
        <f t="shared" si="2"/>
        <v>40399.208333333336</v>
      </c>
      <c r="T10" s="6">
        <f t="shared" si="3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16">
        <f t="shared" si="0"/>
        <v>52</v>
      </c>
      <c r="P11" s="18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6">
        <f t="shared" si="2"/>
        <v>41536.208333333336</v>
      </c>
      <c r="T11" s="6">
        <f t="shared" si="3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16">
        <f t="shared" si="0"/>
        <v>266</v>
      </c>
      <c r="P12" s="18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2"/>
        <v>40404.208333333336</v>
      </c>
      <c r="T12" s="6">
        <f t="shared" si="3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16">
        <f t="shared" si="0"/>
        <v>48</v>
      </c>
      <c r="P13" s="18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6">
        <f t="shared" si="2"/>
        <v>40442.208333333336</v>
      </c>
      <c r="T13" s="6">
        <f t="shared" si="3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16">
        <f t="shared" si="0"/>
        <v>89</v>
      </c>
      <c r="P14" s="18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6">
        <f t="shared" si="2"/>
        <v>43760.208333333328</v>
      </c>
      <c r="T14" s="6">
        <f t="shared" si="3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16">
        <f t="shared" si="0"/>
        <v>245</v>
      </c>
      <c r="P15" s="18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6">
        <f t="shared" si="2"/>
        <v>42532.208333333328</v>
      </c>
      <c r="T15" s="6">
        <f t="shared" si="3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16">
        <f t="shared" si="0"/>
        <v>67</v>
      </c>
      <c r="P16" s="18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6">
        <f t="shared" si="2"/>
        <v>40974.25</v>
      </c>
      <c r="T16" s="6">
        <f t="shared" si="3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16">
        <f t="shared" si="0"/>
        <v>47</v>
      </c>
      <c r="P17" s="18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6">
        <f t="shared" si="2"/>
        <v>43809.25</v>
      </c>
      <c r="T17" s="6">
        <f t="shared" si="3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16">
        <f t="shared" si="0"/>
        <v>649</v>
      </c>
      <c r="P18" s="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2"/>
        <v>41661.25</v>
      </c>
      <c r="T18" s="6">
        <f t="shared" si="3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16">
        <f t="shared" si="0"/>
        <v>159</v>
      </c>
      <c r="P19" s="18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6">
        <f t="shared" si="2"/>
        <v>40555.25</v>
      </c>
      <c r="T19" s="6">
        <f t="shared" si="3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6">
        <f t="shared" si="0"/>
        <v>67</v>
      </c>
      <c r="P20" s="18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6">
        <f t="shared" si="2"/>
        <v>43351.208333333328</v>
      </c>
      <c r="T20" s="6">
        <f t="shared" si="3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16">
        <f t="shared" si="0"/>
        <v>49</v>
      </c>
      <c r="P21" s="18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6">
        <f t="shared" si="2"/>
        <v>43528.25</v>
      </c>
      <c r="T21" s="6">
        <f t="shared" si="3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16">
        <f t="shared" si="0"/>
        <v>112</v>
      </c>
      <c r="P22" s="18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6">
        <f t="shared" si="2"/>
        <v>41848.208333333336</v>
      </c>
      <c r="T22" s="6">
        <f t="shared" si="3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16">
        <f t="shared" si="0"/>
        <v>41</v>
      </c>
      <c r="P23" s="18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6">
        <f t="shared" si="2"/>
        <v>40770.208333333336</v>
      </c>
      <c r="T23" s="6">
        <f t="shared" si="3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16">
        <f t="shared" si="0"/>
        <v>128</v>
      </c>
      <c r="P24" s="18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6">
        <f t="shared" si="2"/>
        <v>43193.208333333328</v>
      </c>
      <c r="T24" s="6">
        <f t="shared" si="3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16">
        <f t="shared" si="0"/>
        <v>332</v>
      </c>
      <c r="P25" s="18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6">
        <f t="shared" si="2"/>
        <v>43510.25</v>
      </c>
      <c r="T25" s="6">
        <f t="shared" si="3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16">
        <f t="shared" si="0"/>
        <v>113</v>
      </c>
      <c r="P26" s="18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6">
        <f t="shared" si="2"/>
        <v>41811.208333333336</v>
      </c>
      <c r="T26" s="6">
        <f t="shared" si="3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16">
        <f t="shared" si="0"/>
        <v>216</v>
      </c>
      <c r="P27" s="18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6">
        <f t="shared" si="2"/>
        <v>40681.208333333336</v>
      </c>
      <c r="T27" s="6">
        <f t="shared" si="3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6">
        <f t="shared" si="0"/>
        <v>48</v>
      </c>
      <c r="P28" s="1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6">
        <f t="shared" si="2"/>
        <v>43312.208333333328</v>
      </c>
      <c r="T28" s="6">
        <f t="shared" si="3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16">
        <f t="shared" si="0"/>
        <v>80</v>
      </c>
      <c r="P29" s="18">
        <f t="shared" si="1"/>
        <v>106.6</v>
      </c>
      <c r="Q29" t="str" cm="1">
        <f t="array" ref="Q29:R29">_xlfn.TEXTSPLIT(N29,"/")</f>
        <v>music</v>
      </c>
      <c r="R29" t="str">
        <v>rock</v>
      </c>
      <c r="S29" s="6">
        <f t="shared" si="2"/>
        <v>42280.208333333328</v>
      </c>
      <c r="T29" s="6">
        <f t="shared" si="3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16">
        <f t="shared" si="0"/>
        <v>105</v>
      </c>
      <c r="P30" s="18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6">
        <f t="shared" si="2"/>
        <v>40218.25</v>
      </c>
      <c r="T30" s="6">
        <f t="shared" si="3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16">
        <f t="shared" si="0"/>
        <v>329</v>
      </c>
      <c r="P31" s="18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6">
        <f t="shared" si="2"/>
        <v>43301.208333333328</v>
      </c>
      <c r="T31" s="6">
        <f t="shared" si="3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16">
        <f t="shared" si="0"/>
        <v>161</v>
      </c>
      <c r="P32" s="18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6">
        <f t="shared" si="2"/>
        <v>43609.208333333328</v>
      </c>
      <c r="T32" s="6">
        <f t="shared" si="3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16">
        <f t="shared" si="0"/>
        <v>310</v>
      </c>
      <c r="P33" s="18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6">
        <f t="shared" si="2"/>
        <v>42374.25</v>
      </c>
      <c r="T33" s="6">
        <f t="shared" si="3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16">
        <f t="shared" si="0"/>
        <v>87</v>
      </c>
      <c r="P34" s="18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6">
        <f t="shared" si="2"/>
        <v>43110.25</v>
      </c>
      <c r="T34" s="6">
        <f t="shared" si="3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16">
        <f t="shared" si="0"/>
        <v>378</v>
      </c>
      <c r="P35" s="18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6">
        <f t="shared" si="2"/>
        <v>41917.208333333336</v>
      </c>
      <c r="T35" s="6">
        <f t="shared" si="3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16">
        <f t="shared" si="0"/>
        <v>151</v>
      </c>
      <c r="P36" s="18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2"/>
        <v>42817.208333333328</v>
      </c>
      <c r="T36" s="6">
        <f t="shared" si="3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16">
        <f t="shared" si="0"/>
        <v>150</v>
      </c>
      <c r="P37" s="18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6">
        <f t="shared" si="2"/>
        <v>43484.25</v>
      </c>
      <c r="T37" s="6">
        <f t="shared" si="3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16">
        <f t="shared" si="0"/>
        <v>157</v>
      </c>
      <c r="P38" s="18">
        <f t="shared" si="1"/>
        <v>68.8125</v>
      </c>
      <c r="Q38" t="str" cm="1">
        <f t="array" ref="Q38:R38">_xlfn.TEXTSPLIT(N38,"/")</f>
        <v>theater</v>
      </c>
      <c r="R38" t="str">
        <v>plays</v>
      </c>
      <c r="S38" s="6">
        <f t="shared" si="2"/>
        <v>40600.25</v>
      </c>
      <c r="T38" s="6">
        <f t="shared" si="3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16">
        <f t="shared" si="0"/>
        <v>140</v>
      </c>
      <c r="P39" s="18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6">
        <f t="shared" si="2"/>
        <v>43744.208333333328</v>
      </c>
      <c r="T39" s="6">
        <f t="shared" si="3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16">
        <f t="shared" si="0"/>
        <v>325</v>
      </c>
      <c r="P40" s="18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6">
        <f t="shared" si="2"/>
        <v>40469.208333333336</v>
      </c>
      <c r="T40" s="6">
        <f t="shared" si="3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16">
        <f t="shared" si="0"/>
        <v>51</v>
      </c>
      <c r="P41" s="18">
        <f t="shared" si="1"/>
        <v>57.125</v>
      </c>
      <c r="Q41" t="str" cm="1">
        <f t="array" ref="Q41:R41">_xlfn.TEXTSPLIT(N41,"/")</f>
        <v>theater</v>
      </c>
      <c r="R41" t="str">
        <v>plays</v>
      </c>
      <c r="S41" s="6">
        <f t="shared" si="2"/>
        <v>41330.25</v>
      </c>
      <c r="T41" s="6">
        <f t="shared" si="3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16">
        <f t="shared" si="0"/>
        <v>169</v>
      </c>
      <c r="P42" s="18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6">
        <f t="shared" si="2"/>
        <v>40334.208333333336</v>
      </c>
      <c r="T42" s="6">
        <f t="shared" si="3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16">
        <f t="shared" si="0"/>
        <v>213</v>
      </c>
      <c r="P43" s="18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6">
        <f t="shared" si="2"/>
        <v>41156.208333333336</v>
      </c>
      <c r="T43" s="6">
        <f t="shared" si="3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16">
        <f t="shared" si="0"/>
        <v>444</v>
      </c>
      <c r="P44" s="18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6">
        <f t="shared" si="2"/>
        <v>40728.208333333336</v>
      </c>
      <c r="T44" s="6">
        <f t="shared" si="3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16">
        <f t="shared" si="0"/>
        <v>186</v>
      </c>
      <c r="P45" s="18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6">
        <f t="shared" si="2"/>
        <v>41844.208333333336</v>
      </c>
      <c r="T45" s="6">
        <f t="shared" si="3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16">
        <f t="shared" si="0"/>
        <v>659</v>
      </c>
      <c r="P46" s="18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6">
        <f t="shared" si="2"/>
        <v>43541.208333333328</v>
      </c>
      <c r="T46" s="6">
        <f t="shared" si="3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16">
        <f t="shared" si="0"/>
        <v>48</v>
      </c>
      <c r="P47" s="18">
        <f t="shared" si="1"/>
        <v>94.375</v>
      </c>
      <c r="Q47" t="str" cm="1">
        <f t="array" ref="Q47:R47">_xlfn.TEXTSPLIT(N47,"/")</f>
        <v>theater</v>
      </c>
      <c r="R47" t="str">
        <v>plays</v>
      </c>
      <c r="S47" s="6">
        <f t="shared" si="2"/>
        <v>42676.208333333328</v>
      </c>
      <c r="T47" s="6">
        <f t="shared" si="3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16">
        <f t="shared" si="0"/>
        <v>115</v>
      </c>
      <c r="P48" s="1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6">
        <f t="shared" si="2"/>
        <v>40367.208333333336</v>
      </c>
      <c r="T48" s="6">
        <f t="shared" si="3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16">
        <f t="shared" si="0"/>
        <v>475</v>
      </c>
      <c r="P49" s="18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6">
        <f t="shared" si="2"/>
        <v>41727.208333333336</v>
      </c>
      <c r="T49" s="6">
        <f t="shared" si="3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16">
        <f t="shared" si="0"/>
        <v>387</v>
      </c>
      <c r="P50" s="18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6">
        <f t="shared" si="2"/>
        <v>42180.208333333328</v>
      </c>
      <c r="T50" s="6">
        <f t="shared" si="3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16">
        <f t="shared" si="0"/>
        <v>190</v>
      </c>
      <c r="P51" s="18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6">
        <f t="shared" si="2"/>
        <v>43758.208333333328</v>
      </c>
      <c r="T51" s="6">
        <f t="shared" si="3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16">
        <f t="shared" si="0"/>
        <v>2</v>
      </c>
      <c r="P52" s="18">
        <f t="shared" si="1"/>
        <v>2</v>
      </c>
      <c r="Q52" t="str" cm="1">
        <f t="array" ref="Q52:R52">_xlfn.TEXTSPLIT(N52,"/")</f>
        <v>music</v>
      </c>
      <c r="R52" t="str">
        <v>metal</v>
      </c>
      <c r="S52" s="6">
        <f t="shared" si="2"/>
        <v>41487.208333333336</v>
      </c>
      <c r="T52" s="6">
        <f t="shared" si="3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16">
        <f t="shared" si="0"/>
        <v>92</v>
      </c>
      <c r="P53" s="18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6">
        <f t="shared" si="2"/>
        <v>40995.208333333336</v>
      </c>
      <c r="T53" s="6">
        <f t="shared" si="3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16">
        <f t="shared" si="0"/>
        <v>34</v>
      </c>
      <c r="P54" s="18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6">
        <f t="shared" si="2"/>
        <v>40436.208333333336</v>
      </c>
      <c r="T54" s="6">
        <f t="shared" si="3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16">
        <f t="shared" si="0"/>
        <v>140</v>
      </c>
      <c r="P55" s="18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6">
        <f t="shared" si="2"/>
        <v>41779.208333333336</v>
      </c>
      <c r="T55" s="6">
        <f t="shared" si="3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16">
        <f t="shared" si="0"/>
        <v>90</v>
      </c>
      <c r="P56" s="18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6">
        <f t="shared" si="2"/>
        <v>43170.25</v>
      </c>
      <c r="T56" s="6">
        <f t="shared" si="3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16">
        <f t="shared" si="0"/>
        <v>178</v>
      </c>
      <c r="P57" s="18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6">
        <f t="shared" si="2"/>
        <v>43311.208333333328</v>
      </c>
      <c r="T57" s="6">
        <f t="shared" si="3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16">
        <f t="shared" si="0"/>
        <v>144</v>
      </c>
      <c r="P58" s="1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6">
        <f t="shared" si="2"/>
        <v>42014.25</v>
      </c>
      <c r="T58" s="6">
        <f t="shared" si="3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16">
        <f t="shared" si="0"/>
        <v>215</v>
      </c>
      <c r="P59" s="18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6">
        <f t="shared" si="2"/>
        <v>42979.208333333328</v>
      </c>
      <c r="T59" s="6">
        <f t="shared" si="3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16">
        <f t="shared" si="0"/>
        <v>227</v>
      </c>
      <c r="P60" s="18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6">
        <f t="shared" si="2"/>
        <v>42268.208333333328</v>
      </c>
      <c r="T60" s="6">
        <f t="shared" si="3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16">
        <f t="shared" si="0"/>
        <v>275</v>
      </c>
      <c r="P61" s="18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6">
        <f t="shared" si="2"/>
        <v>42898.208333333328</v>
      </c>
      <c r="T61" s="6">
        <f t="shared" si="3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16">
        <f t="shared" si="0"/>
        <v>144</v>
      </c>
      <c r="P62" s="18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6">
        <f t="shared" si="2"/>
        <v>41107.208333333336</v>
      </c>
      <c r="T62" s="6">
        <f t="shared" si="3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16">
        <f t="shared" si="0"/>
        <v>93</v>
      </c>
      <c r="P63" s="18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6">
        <f t="shared" si="2"/>
        <v>40595.25</v>
      </c>
      <c r="T63" s="6">
        <f t="shared" si="3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16">
        <f t="shared" si="0"/>
        <v>723</v>
      </c>
      <c r="P64" s="18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6">
        <f t="shared" si="2"/>
        <v>42160.208333333328</v>
      </c>
      <c r="T64" s="6">
        <f t="shared" si="3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16">
        <f t="shared" si="0"/>
        <v>12</v>
      </c>
      <c r="P65" s="18">
        <f t="shared" si="1"/>
        <v>111.4</v>
      </c>
      <c r="Q65" t="str" cm="1">
        <f t="array" ref="Q65:R65">_xlfn.TEXTSPLIT(N65,"/")</f>
        <v>theater</v>
      </c>
      <c r="R65" t="str">
        <v>plays</v>
      </c>
      <c r="S65" s="6">
        <f t="shared" si="2"/>
        <v>42853.208333333328</v>
      </c>
      <c r="T65" s="6">
        <f t="shared" si="3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16">
        <f t="shared" si="0"/>
        <v>98</v>
      </c>
      <c r="P66" s="18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6">
        <f t="shared" si="2"/>
        <v>43283.208333333328</v>
      </c>
      <c r="T66" s="6">
        <f t="shared" si="3"/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16">
        <f t="shared" ref="O67:O130" si="4">ROUND(E67/D67*100,0)</f>
        <v>236</v>
      </c>
      <c r="P67" s="18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6">
        <f t="shared" ref="S67:S130" si="6">(((J67/60)/60)/24)+DATE(1970,1,1)</f>
        <v>40570.25</v>
      </c>
      <c r="T67" s="6">
        <f t="shared" ref="T67:T130" si="7">(((K67/60)/60)/24)+DATE(1970,1,1)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16">
        <f t="shared" si="4"/>
        <v>45</v>
      </c>
      <c r="P68" s="18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6">
        <f t="shared" si="6"/>
        <v>42102.208333333328</v>
      </c>
      <c r="T68" s="6">
        <f t="shared" si="7"/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16">
        <f t="shared" si="4"/>
        <v>162</v>
      </c>
      <c r="P69" s="18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6">
        <f t="shared" si="6"/>
        <v>40203.25</v>
      </c>
      <c r="T69" s="6">
        <f t="shared" si="7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16">
        <f t="shared" si="4"/>
        <v>255</v>
      </c>
      <c r="P70" s="18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6">
        <f t="shared" si="6"/>
        <v>42943.208333333328</v>
      </c>
      <c r="T70" s="6">
        <f t="shared" si="7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6">
        <f t="shared" si="4"/>
        <v>24</v>
      </c>
      <c r="P71" s="18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6">
        <f t="shared" si="6"/>
        <v>40531.25</v>
      </c>
      <c r="T71" s="6">
        <f t="shared" si="7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16">
        <f t="shared" si="4"/>
        <v>124</v>
      </c>
      <c r="P72" s="18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6">
        <f t="shared" si="6"/>
        <v>40484.208333333336</v>
      </c>
      <c r="T72" s="6">
        <f t="shared" si="7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16">
        <f t="shared" si="4"/>
        <v>108</v>
      </c>
      <c r="P73" s="18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6">
        <f t="shared" si="6"/>
        <v>43799.25</v>
      </c>
      <c r="T73" s="6">
        <f t="shared" si="7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16">
        <f t="shared" si="4"/>
        <v>670</v>
      </c>
      <c r="P74" s="18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6">
        <f t="shared" si="6"/>
        <v>42186.208333333328</v>
      </c>
      <c r="T74" s="6">
        <f t="shared" si="7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16">
        <f t="shared" si="4"/>
        <v>661</v>
      </c>
      <c r="P75" s="18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6">
        <f t="shared" si="6"/>
        <v>42701.25</v>
      </c>
      <c r="T75" s="6">
        <f t="shared" si="7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16">
        <f t="shared" si="4"/>
        <v>122</v>
      </c>
      <c r="P76" s="18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6">
        <f t="shared" si="6"/>
        <v>42456.208333333328</v>
      </c>
      <c r="T76" s="6">
        <f t="shared" si="7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16">
        <f t="shared" si="4"/>
        <v>151</v>
      </c>
      <c r="P77" s="18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6">
        <f t="shared" si="6"/>
        <v>43296.208333333328</v>
      </c>
      <c r="T77" s="6">
        <f t="shared" si="7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16">
        <f t="shared" si="4"/>
        <v>78</v>
      </c>
      <c r="P78" s="18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6">
        <f t="shared" si="6"/>
        <v>42027.25</v>
      </c>
      <c r="T78" s="6">
        <f t="shared" si="7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16">
        <f t="shared" si="4"/>
        <v>47</v>
      </c>
      <c r="P79" s="18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6">
        <f t="shared" si="6"/>
        <v>40448.208333333336</v>
      </c>
      <c r="T79" s="6">
        <f t="shared" si="7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16">
        <f t="shared" si="4"/>
        <v>301</v>
      </c>
      <c r="P80" s="18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6">
        <f t="shared" si="6"/>
        <v>43206.208333333328</v>
      </c>
      <c r="T80" s="6">
        <f t="shared" si="7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16">
        <f t="shared" si="4"/>
        <v>70</v>
      </c>
      <c r="P81" s="18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6">
        <f t="shared" si="6"/>
        <v>43267.208333333328</v>
      </c>
      <c r="T81" s="6">
        <f t="shared" si="7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16">
        <f t="shared" si="4"/>
        <v>637</v>
      </c>
      <c r="P82" s="18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6">
        <f t="shared" si="6"/>
        <v>42976.208333333328</v>
      </c>
      <c r="T82" s="6">
        <f t="shared" si="7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16">
        <f t="shared" si="4"/>
        <v>225</v>
      </c>
      <c r="P83" s="18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6">
        <f t="shared" si="6"/>
        <v>43062.25</v>
      </c>
      <c r="T83" s="6">
        <f t="shared" si="7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16">
        <f t="shared" si="4"/>
        <v>1497</v>
      </c>
      <c r="P84" s="18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6">
        <f t="shared" si="6"/>
        <v>43482.25</v>
      </c>
      <c r="T84" s="6">
        <f t="shared" si="7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16">
        <f t="shared" si="4"/>
        <v>38</v>
      </c>
      <c r="P85" s="18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6">
        <f t="shared" si="6"/>
        <v>42579.208333333328</v>
      </c>
      <c r="T85" s="6">
        <f t="shared" si="7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16">
        <f t="shared" si="4"/>
        <v>132</v>
      </c>
      <c r="P86" s="18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6">
        <f t="shared" si="6"/>
        <v>41118.208333333336</v>
      </c>
      <c r="T86" s="6">
        <f t="shared" si="7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16">
        <f t="shared" si="4"/>
        <v>131</v>
      </c>
      <c r="P87" s="18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6">
        <f t="shared" si="6"/>
        <v>40797.208333333336</v>
      </c>
      <c r="T87" s="6">
        <f t="shared" si="7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16">
        <f t="shared" si="4"/>
        <v>168</v>
      </c>
      <c r="P88" s="18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6">
        <f t="shared" si="6"/>
        <v>42128.208333333328</v>
      </c>
      <c r="T88" s="6">
        <f t="shared" si="7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16">
        <f t="shared" si="4"/>
        <v>62</v>
      </c>
      <c r="P89" s="18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6">
        <f t="shared" si="6"/>
        <v>40610.25</v>
      </c>
      <c r="T89" s="6">
        <f t="shared" si="7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16">
        <f t="shared" si="4"/>
        <v>261</v>
      </c>
      <c r="P90" s="18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6">
        <f t="shared" si="6"/>
        <v>42110.208333333328</v>
      </c>
      <c r="T90" s="6">
        <f t="shared" si="7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16">
        <f t="shared" si="4"/>
        <v>253</v>
      </c>
      <c r="P91" s="18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6">
        <f t="shared" si="6"/>
        <v>40283.208333333336</v>
      </c>
      <c r="T91" s="6">
        <f t="shared" si="7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16">
        <f t="shared" si="4"/>
        <v>79</v>
      </c>
      <c r="P92" s="18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6">
        <f t="shared" si="6"/>
        <v>42425.25</v>
      </c>
      <c r="T92" s="6">
        <f t="shared" si="7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16">
        <f t="shared" si="4"/>
        <v>48</v>
      </c>
      <c r="P93" s="18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6">
        <f t="shared" si="6"/>
        <v>42588.208333333328</v>
      </c>
      <c r="T93" s="6">
        <f t="shared" si="7"/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16">
        <f t="shared" si="4"/>
        <v>259</v>
      </c>
      <c r="P94" s="18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6">
        <f t="shared" si="6"/>
        <v>40352.208333333336</v>
      </c>
      <c r="T94" s="6">
        <f t="shared" si="7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6">
        <f t="shared" si="4"/>
        <v>61</v>
      </c>
      <c r="P95" s="18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6">
        <f t="shared" si="6"/>
        <v>41202.208333333336</v>
      </c>
      <c r="T95" s="6">
        <f t="shared" si="7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16">
        <f t="shared" si="4"/>
        <v>304</v>
      </c>
      <c r="P96" s="18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6">
        <f t="shared" si="6"/>
        <v>43562.208333333328</v>
      </c>
      <c r="T96" s="6">
        <f t="shared" si="7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16">
        <f t="shared" si="4"/>
        <v>113</v>
      </c>
      <c r="P97" s="18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6">
        <f t="shared" si="6"/>
        <v>43752.208333333328</v>
      </c>
      <c r="T97" s="6">
        <f t="shared" si="7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16">
        <f t="shared" si="4"/>
        <v>217</v>
      </c>
      <c r="P98" s="18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6">
        <f t="shared" si="6"/>
        <v>40612.25</v>
      </c>
      <c r="T98" s="6">
        <f t="shared" si="7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16">
        <f t="shared" si="4"/>
        <v>927</v>
      </c>
      <c r="P99" s="18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6">
        <f t="shared" si="6"/>
        <v>42180.208333333328</v>
      </c>
      <c r="T99" s="6">
        <f t="shared" si="7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16">
        <f t="shared" si="4"/>
        <v>34</v>
      </c>
      <c r="P100" s="18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6">
        <f t="shared" si="6"/>
        <v>42212.208333333328</v>
      </c>
      <c r="T100" s="6">
        <f t="shared" si="7"/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16">
        <f t="shared" si="4"/>
        <v>197</v>
      </c>
      <c r="P101" s="18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6">
        <f t="shared" si="6"/>
        <v>41968.25</v>
      </c>
      <c r="T101" s="6">
        <f t="shared" si="7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16">
        <f t="shared" si="4"/>
        <v>1</v>
      </c>
      <c r="P102" s="18">
        <f t="shared" si="5"/>
        <v>1</v>
      </c>
      <c r="Q102" t="str" cm="1">
        <f t="array" ref="Q102:R102">_xlfn.TEXTSPLIT(N102,"/")</f>
        <v>theater</v>
      </c>
      <c r="R102" t="str">
        <v>plays</v>
      </c>
      <c r="S102" s="6">
        <f t="shared" si="6"/>
        <v>40835.208333333336</v>
      </c>
      <c r="T102" s="6">
        <f t="shared" si="7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16">
        <f t="shared" si="4"/>
        <v>1021</v>
      </c>
      <c r="P103" s="18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6">
        <f t="shared" si="6"/>
        <v>42056.25</v>
      </c>
      <c r="T103" s="6">
        <f t="shared" si="7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16">
        <f t="shared" si="4"/>
        <v>282</v>
      </c>
      <c r="P104" s="18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6">
        <f t="shared" si="6"/>
        <v>43234.208333333328</v>
      </c>
      <c r="T104" s="6">
        <f t="shared" si="7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16">
        <f t="shared" si="4"/>
        <v>25</v>
      </c>
      <c r="P105" s="18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6">
        <f t="shared" si="6"/>
        <v>40475.208333333336</v>
      </c>
      <c r="T105" s="6">
        <f t="shared" si="7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16">
        <f t="shared" si="4"/>
        <v>143</v>
      </c>
      <c r="P106" s="18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6">
        <f t="shared" si="6"/>
        <v>42878.208333333328</v>
      </c>
      <c r="T106" s="6">
        <f t="shared" si="7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16">
        <f t="shared" si="4"/>
        <v>145</v>
      </c>
      <c r="P107" s="18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6">
        <f t="shared" si="6"/>
        <v>41366.208333333336</v>
      </c>
      <c r="T107" s="6">
        <f t="shared" si="7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16">
        <f t="shared" si="4"/>
        <v>359</v>
      </c>
      <c r="P108" s="18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6">
        <f t="shared" si="6"/>
        <v>43716.208333333328</v>
      </c>
      <c r="T108" s="6">
        <f t="shared" si="7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16">
        <f t="shared" si="4"/>
        <v>186</v>
      </c>
      <c r="P109" s="18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6">
        <f t="shared" si="6"/>
        <v>43213.208333333328</v>
      </c>
      <c r="T109" s="6">
        <f t="shared" si="7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16">
        <f t="shared" si="4"/>
        <v>595</v>
      </c>
      <c r="P110" s="18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6">
        <f t="shared" si="6"/>
        <v>41005.208333333336</v>
      </c>
      <c r="T110" s="6">
        <f t="shared" si="7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16">
        <f t="shared" si="4"/>
        <v>59</v>
      </c>
      <c r="P111" s="18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6">
        <f t="shared" si="6"/>
        <v>41651.25</v>
      </c>
      <c r="T111" s="6">
        <f t="shared" si="7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16">
        <f t="shared" si="4"/>
        <v>15</v>
      </c>
      <c r="P112" s="18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6">
        <f t="shared" si="6"/>
        <v>43354.208333333328</v>
      </c>
      <c r="T112" s="6">
        <f t="shared" si="7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16">
        <f t="shared" si="4"/>
        <v>120</v>
      </c>
      <c r="P113" s="18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6">
        <f t="shared" si="6"/>
        <v>41174.208333333336</v>
      </c>
      <c r="T113" s="6">
        <f t="shared" si="7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16">
        <f t="shared" si="4"/>
        <v>269</v>
      </c>
      <c r="P114" s="18">
        <f t="shared" si="5"/>
        <v>35</v>
      </c>
      <c r="Q114" t="str" cm="1">
        <f t="array" ref="Q114:R114">_xlfn.TEXTSPLIT(N114,"/")</f>
        <v>technology</v>
      </c>
      <c r="R114" t="str">
        <v>web</v>
      </c>
      <c r="S114" s="6">
        <f t="shared" si="6"/>
        <v>41875.208333333336</v>
      </c>
      <c r="T114" s="6">
        <f t="shared" si="7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16">
        <f t="shared" si="4"/>
        <v>377</v>
      </c>
      <c r="P115" s="18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6">
        <f t="shared" si="6"/>
        <v>42990.208333333328</v>
      </c>
      <c r="T115" s="6">
        <f t="shared" si="7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6">
        <f t="shared" si="4"/>
        <v>727</v>
      </c>
      <c r="P116" s="18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6">
        <f t="shared" si="6"/>
        <v>43564.208333333328</v>
      </c>
      <c r="T116" s="6">
        <f t="shared" si="7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16">
        <f t="shared" si="4"/>
        <v>87</v>
      </c>
      <c r="P117" s="18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6">
        <f t="shared" si="6"/>
        <v>43056.25</v>
      </c>
      <c r="T117" s="6">
        <f t="shared" si="7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16">
        <f t="shared" si="4"/>
        <v>88</v>
      </c>
      <c r="P118" s="18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6">
        <f t="shared" si="6"/>
        <v>42265.208333333328</v>
      </c>
      <c r="T118" s="6">
        <f t="shared" si="7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16">
        <f t="shared" si="4"/>
        <v>174</v>
      </c>
      <c r="P119" s="18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6">
        <f t="shared" si="6"/>
        <v>40808.208333333336</v>
      </c>
      <c r="T119" s="6">
        <f t="shared" si="7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16">
        <f t="shared" si="4"/>
        <v>118</v>
      </c>
      <c r="P120" s="18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6">
        <f t="shared" si="6"/>
        <v>41665.25</v>
      </c>
      <c r="T120" s="6">
        <f t="shared" si="7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16">
        <f t="shared" si="4"/>
        <v>215</v>
      </c>
      <c r="P121" s="18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6">
        <f t="shared" si="6"/>
        <v>41806.208333333336</v>
      </c>
      <c r="T121" s="6">
        <f t="shared" si="7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16">
        <f t="shared" si="4"/>
        <v>149</v>
      </c>
      <c r="P122" s="18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6">
        <f t="shared" si="6"/>
        <v>42111.208333333328</v>
      </c>
      <c r="T122" s="6">
        <f t="shared" si="7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16">
        <f t="shared" si="4"/>
        <v>219</v>
      </c>
      <c r="P123" s="18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6">
        <f t="shared" si="6"/>
        <v>41917.208333333336</v>
      </c>
      <c r="T123" s="6">
        <f t="shared" si="7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16">
        <f t="shared" si="4"/>
        <v>64</v>
      </c>
      <c r="P124" s="18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6">
        <f t="shared" si="6"/>
        <v>41970.25</v>
      </c>
      <c r="T124" s="6">
        <f t="shared" si="7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16">
        <f t="shared" si="4"/>
        <v>19</v>
      </c>
      <c r="P125" s="18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6">
        <f t="shared" si="6"/>
        <v>42332.25</v>
      </c>
      <c r="T125" s="6">
        <f t="shared" si="7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16">
        <f t="shared" si="4"/>
        <v>368</v>
      </c>
      <c r="P126" s="18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6">
        <f t="shared" si="6"/>
        <v>43598.208333333328</v>
      </c>
      <c r="T126" s="6">
        <f t="shared" si="7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16">
        <f t="shared" si="4"/>
        <v>160</v>
      </c>
      <c r="P127" s="18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6">
        <f t="shared" si="6"/>
        <v>43362.208333333328</v>
      </c>
      <c r="T127" s="6">
        <f t="shared" si="7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16">
        <f t="shared" si="4"/>
        <v>39</v>
      </c>
      <c r="P128" s="18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6">
        <f t="shared" si="6"/>
        <v>42596.208333333328</v>
      </c>
      <c r="T128" s="6">
        <f t="shared" si="7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16">
        <f t="shared" si="4"/>
        <v>51</v>
      </c>
      <c r="P129" s="18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6">
        <f t="shared" si="6"/>
        <v>40310.208333333336</v>
      </c>
      <c r="T129" s="6">
        <f t="shared" si="7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6">
        <f t="shared" si="4"/>
        <v>60</v>
      </c>
      <c r="P130" s="18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6">
        <f t="shared" si="6"/>
        <v>40417.208333333336</v>
      </c>
      <c r="T130" s="6">
        <f t="shared" si="7"/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6">
        <f t="shared" ref="O131:O194" si="8">ROUND(E131/D131*100,0)</f>
        <v>3</v>
      </c>
      <c r="P131" s="18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6">
        <f t="shared" ref="S131:S194" si="10">(((J131/60)/60)/24)+DATE(1970,1,1)</f>
        <v>42038.25</v>
      </c>
      <c r="T131" s="6">
        <f t="shared" ref="T131:T194" si="11">(((K131/60)/60)/24)+DATE(1970,1,1)</f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16">
        <f t="shared" si="8"/>
        <v>155</v>
      </c>
      <c r="P132" s="18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6">
        <f t="shared" si="10"/>
        <v>40842.208333333336</v>
      </c>
      <c r="T132" s="6">
        <f t="shared" si="11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16">
        <f t="shared" si="8"/>
        <v>101</v>
      </c>
      <c r="P133" s="18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6">
        <f t="shared" si="10"/>
        <v>41607.25</v>
      </c>
      <c r="T133" s="6">
        <f t="shared" si="11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16">
        <f t="shared" si="8"/>
        <v>116</v>
      </c>
      <c r="P134" s="18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6">
        <f t="shared" si="10"/>
        <v>43112.25</v>
      </c>
      <c r="T134" s="6">
        <f t="shared" si="11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16">
        <f t="shared" si="8"/>
        <v>311</v>
      </c>
      <c r="P135" s="18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6">
        <f t="shared" si="10"/>
        <v>40767.208333333336</v>
      </c>
      <c r="T135" s="6">
        <f t="shared" si="11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16">
        <f t="shared" si="8"/>
        <v>90</v>
      </c>
      <c r="P136" s="18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6">
        <f t="shared" si="10"/>
        <v>40713.208333333336</v>
      </c>
      <c r="T136" s="6">
        <f t="shared" si="11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16">
        <f t="shared" si="8"/>
        <v>71</v>
      </c>
      <c r="P137" s="18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6">
        <f t="shared" si="10"/>
        <v>41340.25</v>
      </c>
      <c r="T137" s="6">
        <f t="shared" si="11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6">
        <f t="shared" si="8"/>
        <v>3</v>
      </c>
      <c r="P138" s="1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6">
        <f t="shared" si="10"/>
        <v>41797.208333333336</v>
      </c>
      <c r="T138" s="6">
        <f t="shared" si="11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16">
        <f t="shared" si="8"/>
        <v>262</v>
      </c>
      <c r="P139" s="18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10"/>
        <v>40457.208333333336</v>
      </c>
      <c r="T139" s="6">
        <f t="shared" si="11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16">
        <f t="shared" si="8"/>
        <v>96</v>
      </c>
      <c r="P140" s="18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6">
        <f t="shared" si="10"/>
        <v>41180.208333333336</v>
      </c>
      <c r="T140" s="6">
        <f t="shared" si="11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16">
        <f t="shared" si="8"/>
        <v>21</v>
      </c>
      <c r="P141" s="18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6">
        <f t="shared" si="10"/>
        <v>42115.208333333328</v>
      </c>
      <c r="T141" s="6">
        <f t="shared" si="11"/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16">
        <f t="shared" si="8"/>
        <v>223</v>
      </c>
      <c r="P142" s="18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6">
        <f t="shared" si="10"/>
        <v>43156.25</v>
      </c>
      <c r="T142" s="6">
        <f t="shared" si="11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16">
        <f t="shared" si="8"/>
        <v>102</v>
      </c>
      <c r="P143" s="18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6">
        <f t="shared" si="10"/>
        <v>42167.208333333328</v>
      </c>
      <c r="T143" s="6">
        <f t="shared" si="11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16">
        <f t="shared" si="8"/>
        <v>230</v>
      </c>
      <c r="P144" s="18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6">
        <f t="shared" si="10"/>
        <v>41005.208333333336</v>
      </c>
      <c r="T144" s="6">
        <f t="shared" si="11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16">
        <f t="shared" si="8"/>
        <v>136</v>
      </c>
      <c r="P145" s="18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10"/>
        <v>40357.208333333336</v>
      </c>
      <c r="T145" s="6">
        <f t="shared" si="11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16">
        <f t="shared" si="8"/>
        <v>129</v>
      </c>
      <c r="P146" s="18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6">
        <f t="shared" si="10"/>
        <v>43633.208333333328</v>
      </c>
      <c r="T146" s="6">
        <f t="shared" si="11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16">
        <f t="shared" si="8"/>
        <v>237</v>
      </c>
      <c r="P147" s="18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6">
        <f t="shared" si="10"/>
        <v>41889.208333333336</v>
      </c>
      <c r="T147" s="6">
        <f t="shared" si="11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6">
        <f t="shared" si="8"/>
        <v>17</v>
      </c>
      <c r="P148" s="18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6">
        <f t="shared" si="10"/>
        <v>40855.25</v>
      </c>
      <c r="T148" s="6">
        <f t="shared" si="11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16">
        <f t="shared" si="8"/>
        <v>112</v>
      </c>
      <c r="P149" s="18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6">
        <f t="shared" si="10"/>
        <v>42534.208333333328</v>
      </c>
      <c r="T149" s="6">
        <f t="shared" si="11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16">
        <f t="shared" si="8"/>
        <v>121</v>
      </c>
      <c r="P150" s="18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6">
        <f t="shared" si="10"/>
        <v>42941.208333333328</v>
      </c>
      <c r="T150" s="6">
        <f t="shared" si="11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16">
        <f t="shared" si="8"/>
        <v>220</v>
      </c>
      <c r="P151" s="18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6">
        <f t="shared" si="10"/>
        <v>41275.25</v>
      </c>
      <c r="T151" s="6">
        <f t="shared" si="11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16">
        <f t="shared" si="8"/>
        <v>1</v>
      </c>
      <c r="P152" s="18">
        <f t="shared" si="9"/>
        <v>1</v>
      </c>
      <c r="Q152" t="str" cm="1">
        <f t="array" ref="Q152:R152">_xlfn.TEXTSPLIT(N152,"/")</f>
        <v>music</v>
      </c>
      <c r="R152" t="str">
        <v>rock</v>
      </c>
      <c r="S152" s="6">
        <f t="shared" si="10"/>
        <v>43450.25</v>
      </c>
      <c r="T152" s="6">
        <f t="shared" si="11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16">
        <f t="shared" si="8"/>
        <v>64</v>
      </c>
      <c r="P153" s="18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6">
        <f t="shared" si="10"/>
        <v>41799.208333333336</v>
      </c>
      <c r="T153" s="6">
        <f t="shared" si="11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16">
        <f t="shared" si="8"/>
        <v>423</v>
      </c>
      <c r="P154" s="18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6">
        <f t="shared" si="10"/>
        <v>42783.25</v>
      </c>
      <c r="T154" s="6">
        <f t="shared" si="11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16">
        <f t="shared" si="8"/>
        <v>93</v>
      </c>
      <c r="P155" s="18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6">
        <f t="shared" si="10"/>
        <v>41201.208333333336</v>
      </c>
      <c r="T155" s="6">
        <f t="shared" si="11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16">
        <f t="shared" si="8"/>
        <v>59</v>
      </c>
      <c r="P156" s="18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6">
        <f t="shared" si="10"/>
        <v>42502.208333333328</v>
      </c>
      <c r="T156" s="6">
        <f t="shared" si="11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16">
        <f t="shared" si="8"/>
        <v>65</v>
      </c>
      <c r="P157" s="18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6">
        <f t="shared" si="10"/>
        <v>40262.208333333336</v>
      </c>
      <c r="T157" s="6">
        <f t="shared" si="11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6">
        <f t="shared" si="8"/>
        <v>74</v>
      </c>
      <c r="P158" s="1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6">
        <f t="shared" si="10"/>
        <v>43743.208333333328</v>
      </c>
      <c r="T158" s="6">
        <f t="shared" si="11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16">
        <f t="shared" si="8"/>
        <v>53</v>
      </c>
      <c r="P159" s="18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6">
        <f t="shared" si="10"/>
        <v>41638.25</v>
      </c>
      <c r="T159" s="6">
        <f t="shared" si="11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16">
        <f t="shared" si="8"/>
        <v>221</v>
      </c>
      <c r="P160" s="18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6">
        <f t="shared" si="10"/>
        <v>42346.25</v>
      </c>
      <c r="T160" s="6">
        <f t="shared" si="11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16">
        <f t="shared" si="8"/>
        <v>100</v>
      </c>
      <c r="P161" s="18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6">
        <f t="shared" si="10"/>
        <v>43551.208333333328</v>
      </c>
      <c r="T161" s="6">
        <f t="shared" si="11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16">
        <f t="shared" si="8"/>
        <v>162</v>
      </c>
      <c r="P162" s="18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6">
        <f t="shared" si="10"/>
        <v>43582.208333333328</v>
      </c>
      <c r="T162" s="6">
        <f t="shared" si="11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16">
        <f t="shared" si="8"/>
        <v>78</v>
      </c>
      <c r="P163" s="18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6">
        <f t="shared" si="10"/>
        <v>42270.208333333328</v>
      </c>
      <c r="T163" s="6">
        <f t="shared" si="11"/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16">
        <f t="shared" si="8"/>
        <v>150</v>
      </c>
      <c r="P164" s="18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6">
        <f t="shared" si="10"/>
        <v>43442.25</v>
      </c>
      <c r="T164" s="6">
        <f t="shared" si="11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16">
        <f t="shared" si="8"/>
        <v>253</v>
      </c>
      <c r="P165" s="18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6">
        <f t="shared" si="10"/>
        <v>43028.208333333328</v>
      </c>
      <c r="T165" s="6">
        <f t="shared" si="11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16">
        <f t="shared" si="8"/>
        <v>100</v>
      </c>
      <c r="P166" s="18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6">
        <f t="shared" si="10"/>
        <v>43016.208333333328</v>
      </c>
      <c r="T166" s="6">
        <f t="shared" si="11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16">
        <f t="shared" si="8"/>
        <v>122</v>
      </c>
      <c r="P167" s="18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6">
        <f t="shared" si="10"/>
        <v>42948.208333333328</v>
      </c>
      <c r="T167" s="6">
        <f t="shared" si="11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16">
        <f t="shared" si="8"/>
        <v>137</v>
      </c>
      <c r="P168" s="1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6">
        <f t="shared" si="10"/>
        <v>40534.25</v>
      </c>
      <c r="T168" s="6">
        <f t="shared" si="11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16">
        <f t="shared" si="8"/>
        <v>416</v>
      </c>
      <c r="P169" s="18">
        <f t="shared" si="9"/>
        <v>74</v>
      </c>
      <c r="Q169" t="str" cm="1">
        <f t="array" ref="Q169:R169">_xlfn.TEXTSPLIT(N169,"/")</f>
        <v>theater</v>
      </c>
      <c r="R169" t="str">
        <v>plays</v>
      </c>
      <c r="S169" s="6">
        <f t="shared" si="10"/>
        <v>41435.208333333336</v>
      </c>
      <c r="T169" s="6">
        <f t="shared" si="11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16">
        <f t="shared" si="8"/>
        <v>31</v>
      </c>
      <c r="P170" s="18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6">
        <f t="shared" si="10"/>
        <v>43518.25</v>
      </c>
      <c r="T170" s="6">
        <f t="shared" si="11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16">
        <f t="shared" si="8"/>
        <v>424</v>
      </c>
      <c r="P171" s="18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6">
        <f t="shared" si="10"/>
        <v>41077.208333333336</v>
      </c>
      <c r="T171" s="6">
        <f t="shared" si="11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16">
        <f t="shared" si="8"/>
        <v>3</v>
      </c>
      <c r="P172" s="18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6">
        <f t="shared" si="10"/>
        <v>42950.208333333328</v>
      </c>
      <c r="T172" s="6">
        <f t="shared" si="11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16">
        <f t="shared" si="8"/>
        <v>11</v>
      </c>
      <c r="P173" s="18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10"/>
        <v>41718.208333333336</v>
      </c>
      <c r="T173" s="6">
        <f t="shared" si="11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16">
        <f t="shared" si="8"/>
        <v>83</v>
      </c>
      <c r="P174" s="18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10"/>
        <v>41839.208333333336</v>
      </c>
      <c r="T174" s="6">
        <f t="shared" si="11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16">
        <f t="shared" si="8"/>
        <v>163</v>
      </c>
      <c r="P175" s="18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6">
        <f t="shared" si="10"/>
        <v>41412.208333333336</v>
      </c>
      <c r="T175" s="6">
        <f t="shared" si="11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16">
        <f t="shared" si="8"/>
        <v>895</v>
      </c>
      <c r="P176" s="18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6">
        <f t="shared" si="10"/>
        <v>42282.208333333328</v>
      </c>
      <c r="T176" s="6">
        <f t="shared" si="11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16">
        <f t="shared" si="8"/>
        <v>26</v>
      </c>
      <c r="P177" s="18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6">
        <f t="shared" si="10"/>
        <v>42613.208333333328</v>
      </c>
      <c r="T177" s="6">
        <f t="shared" si="11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16">
        <f t="shared" si="8"/>
        <v>75</v>
      </c>
      <c r="P178" s="18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6">
        <f t="shared" si="10"/>
        <v>42616.208333333328</v>
      </c>
      <c r="T178" s="6">
        <f t="shared" si="11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16">
        <f t="shared" si="8"/>
        <v>416</v>
      </c>
      <c r="P179" s="18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6">
        <f t="shared" si="10"/>
        <v>40497.25</v>
      </c>
      <c r="T179" s="6">
        <f t="shared" si="11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16">
        <f t="shared" si="8"/>
        <v>96</v>
      </c>
      <c r="P180" s="18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6">
        <f t="shared" si="10"/>
        <v>42999.208333333328</v>
      </c>
      <c r="T180" s="6">
        <f t="shared" si="11"/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16">
        <f t="shared" si="8"/>
        <v>358</v>
      </c>
      <c r="P181" s="18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6">
        <f t="shared" si="10"/>
        <v>41350.208333333336</v>
      </c>
      <c r="T181" s="6">
        <f t="shared" si="11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16">
        <f t="shared" si="8"/>
        <v>308</v>
      </c>
      <c r="P182" s="18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6">
        <f t="shared" si="10"/>
        <v>40259.208333333336</v>
      </c>
      <c r="T182" s="6">
        <f t="shared" si="11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16">
        <f t="shared" si="8"/>
        <v>62</v>
      </c>
      <c r="P183" s="18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6">
        <f t="shared" si="10"/>
        <v>43012.208333333328</v>
      </c>
      <c r="T183" s="6">
        <f t="shared" si="11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16">
        <f t="shared" si="8"/>
        <v>722</v>
      </c>
      <c r="P184" s="18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6">
        <f t="shared" si="10"/>
        <v>43631.208333333328</v>
      </c>
      <c r="T184" s="6">
        <f t="shared" si="11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16">
        <f t="shared" si="8"/>
        <v>69</v>
      </c>
      <c r="P185" s="18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6">
        <f t="shared" si="10"/>
        <v>40430.208333333336</v>
      </c>
      <c r="T185" s="6">
        <f t="shared" si="11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16">
        <f t="shared" si="8"/>
        <v>293</v>
      </c>
      <c r="P186" s="18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6">
        <f t="shared" si="10"/>
        <v>43588.208333333328</v>
      </c>
      <c r="T186" s="6">
        <f t="shared" si="11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16">
        <f t="shared" si="8"/>
        <v>72</v>
      </c>
      <c r="P187" s="18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6">
        <f t="shared" si="10"/>
        <v>43233.208333333328</v>
      </c>
      <c r="T187" s="6">
        <f t="shared" si="11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16">
        <f t="shared" si="8"/>
        <v>32</v>
      </c>
      <c r="P188" s="18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6">
        <f t="shared" si="10"/>
        <v>41782.208333333336</v>
      </c>
      <c r="T188" s="6">
        <f t="shared" si="11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16">
        <f t="shared" si="8"/>
        <v>230</v>
      </c>
      <c r="P189" s="18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6">
        <f t="shared" si="10"/>
        <v>41328.25</v>
      </c>
      <c r="T189" s="6">
        <f t="shared" si="11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16">
        <f t="shared" si="8"/>
        <v>32</v>
      </c>
      <c r="P190" s="18">
        <f t="shared" si="9"/>
        <v>75</v>
      </c>
      <c r="Q190" t="str" cm="1">
        <f t="array" ref="Q190:R190">_xlfn.TEXTSPLIT(N190,"/")</f>
        <v>theater</v>
      </c>
      <c r="R190" t="str">
        <v>plays</v>
      </c>
      <c r="S190" s="6">
        <f t="shared" si="10"/>
        <v>41975.25</v>
      </c>
      <c r="T190" s="6">
        <f t="shared" si="11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6">
        <f t="shared" si="8"/>
        <v>24</v>
      </c>
      <c r="P191" s="18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6">
        <f t="shared" si="10"/>
        <v>42433.25</v>
      </c>
      <c r="T191" s="6">
        <f t="shared" si="11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16">
        <f t="shared" si="8"/>
        <v>69</v>
      </c>
      <c r="P192" s="18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0"/>
        <v>41429.208333333336</v>
      </c>
      <c r="T192" s="6">
        <f t="shared" si="11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16">
        <f t="shared" si="8"/>
        <v>38</v>
      </c>
      <c r="P193" s="18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6">
        <f t="shared" si="10"/>
        <v>43536.208333333328</v>
      </c>
      <c r="T193" s="6">
        <f t="shared" si="11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16">
        <f t="shared" si="8"/>
        <v>20</v>
      </c>
      <c r="P194" s="18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6">
        <f t="shared" si="10"/>
        <v>41817.208333333336</v>
      </c>
      <c r="T194" s="6">
        <f t="shared" si="11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16">
        <f t="shared" ref="O195:O258" si="12">ROUND(E195/D195*100,0)</f>
        <v>46</v>
      </c>
      <c r="P195" s="18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6">
        <f t="shared" ref="S195:S258" si="14">(((J195/60)/60)/24)+DATE(1970,1,1)</f>
        <v>43198.208333333328</v>
      </c>
      <c r="T195" s="6">
        <f t="shared" ref="T195:T258" si="15">(((K195/60)/60)/24)+DATE(1970,1,1)</f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16">
        <f t="shared" si="12"/>
        <v>123</v>
      </c>
      <c r="P196" s="18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6">
        <f t="shared" si="14"/>
        <v>42261.208333333328</v>
      </c>
      <c r="T196" s="6">
        <f t="shared" si="15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16">
        <f t="shared" si="12"/>
        <v>362</v>
      </c>
      <c r="P197" s="18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6">
        <f t="shared" si="14"/>
        <v>43310.208333333328</v>
      </c>
      <c r="T197" s="6">
        <f t="shared" si="15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16">
        <f t="shared" si="12"/>
        <v>63</v>
      </c>
      <c r="P198" s="1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4"/>
        <v>42616.208333333328</v>
      </c>
      <c r="T198" s="6">
        <f t="shared" si="15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16">
        <f t="shared" si="12"/>
        <v>298</v>
      </c>
      <c r="P199" s="18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6">
        <f t="shared" si="14"/>
        <v>42909.208333333328</v>
      </c>
      <c r="T199" s="6">
        <f t="shared" si="15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16">
        <f t="shared" si="12"/>
        <v>10</v>
      </c>
      <c r="P200" s="18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6">
        <f t="shared" si="14"/>
        <v>40396.208333333336</v>
      </c>
      <c r="T200" s="6">
        <f t="shared" si="15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16">
        <f t="shared" si="12"/>
        <v>54</v>
      </c>
      <c r="P201" s="18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6">
        <f t="shared" si="14"/>
        <v>42192.208333333328</v>
      </c>
      <c r="T201" s="6">
        <f t="shared" si="15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16">
        <f t="shared" si="12"/>
        <v>2</v>
      </c>
      <c r="P202" s="18">
        <f t="shared" si="13"/>
        <v>2</v>
      </c>
      <c r="Q202" t="str" cm="1">
        <f t="array" ref="Q202:R202">_xlfn.TEXTSPLIT(N202,"/")</f>
        <v>theater</v>
      </c>
      <c r="R202" t="str">
        <v>plays</v>
      </c>
      <c r="S202" s="6">
        <f t="shared" si="14"/>
        <v>40262.208333333336</v>
      </c>
      <c r="T202" s="6">
        <f t="shared" si="15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16">
        <f t="shared" si="12"/>
        <v>681</v>
      </c>
      <c r="P203" s="18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6">
        <f t="shared" si="14"/>
        <v>41845.208333333336</v>
      </c>
      <c r="T203" s="6">
        <f t="shared" si="15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6">
        <f t="shared" si="12"/>
        <v>79</v>
      </c>
      <c r="P204" s="18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6">
        <f t="shared" si="14"/>
        <v>40818.208333333336</v>
      </c>
      <c r="T204" s="6">
        <f t="shared" si="15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16">
        <f t="shared" si="12"/>
        <v>134</v>
      </c>
      <c r="P205" s="18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6">
        <f t="shared" si="14"/>
        <v>42752.25</v>
      </c>
      <c r="T205" s="6">
        <f t="shared" si="15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16">
        <f t="shared" si="12"/>
        <v>3</v>
      </c>
      <c r="P206" s="18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6">
        <f t="shared" si="14"/>
        <v>40636.208333333336</v>
      </c>
      <c r="T206" s="6">
        <f t="shared" si="15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16">
        <f t="shared" si="12"/>
        <v>432</v>
      </c>
      <c r="P207" s="18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6">
        <f t="shared" si="14"/>
        <v>43390.208333333328</v>
      </c>
      <c r="T207" s="6">
        <f t="shared" si="15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6">
        <f t="shared" si="12"/>
        <v>39</v>
      </c>
      <c r="P208" s="1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6">
        <f t="shared" si="14"/>
        <v>40236.25</v>
      </c>
      <c r="T208" s="6">
        <f t="shared" si="15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16">
        <f t="shared" si="12"/>
        <v>426</v>
      </c>
      <c r="P209" s="18">
        <f t="shared" si="13"/>
        <v>99</v>
      </c>
      <c r="Q209" t="str" cm="1">
        <f t="array" ref="Q209:R209">_xlfn.TEXTSPLIT(N209,"/")</f>
        <v>music</v>
      </c>
      <c r="R209" t="str">
        <v>rock</v>
      </c>
      <c r="S209" s="6">
        <f t="shared" si="14"/>
        <v>43340.208333333328</v>
      </c>
      <c r="T209" s="6">
        <f t="shared" si="15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16">
        <f t="shared" si="12"/>
        <v>101</v>
      </c>
      <c r="P210" s="18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6">
        <f t="shared" si="14"/>
        <v>43048.25</v>
      </c>
      <c r="T210" s="6">
        <f t="shared" si="15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6">
        <f t="shared" si="12"/>
        <v>21</v>
      </c>
      <c r="P211" s="18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6">
        <f t="shared" si="14"/>
        <v>42496.208333333328</v>
      </c>
      <c r="T211" s="6">
        <f t="shared" si="15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16">
        <f t="shared" si="12"/>
        <v>67</v>
      </c>
      <c r="P212" s="18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4"/>
        <v>42797.25</v>
      </c>
      <c r="T212" s="6">
        <f t="shared" si="15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16">
        <f t="shared" si="12"/>
        <v>95</v>
      </c>
      <c r="P213" s="18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6">
        <f t="shared" si="14"/>
        <v>41513.208333333336</v>
      </c>
      <c r="T213" s="6">
        <f t="shared" si="15"/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16">
        <f t="shared" si="12"/>
        <v>152</v>
      </c>
      <c r="P214" s="18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6">
        <f t="shared" si="14"/>
        <v>43814.25</v>
      </c>
      <c r="T214" s="6">
        <f t="shared" si="15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16">
        <f t="shared" si="12"/>
        <v>195</v>
      </c>
      <c r="P215" s="18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6">
        <f t="shared" si="14"/>
        <v>40488.208333333336</v>
      </c>
      <c r="T215" s="6">
        <f t="shared" si="15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16">
        <f t="shared" si="12"/>
        <v>1023</v>
      </c>
      <c r="P216" s="18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6">
        <f t="shared" si="14"/>
        <v>40409.208333333336</v>
      </c>
      <c r="T216" s="6">
        <f t="shared" si="15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16">
        <f t="shared" si="12"/>
        <v>4</v>
      </c>
      <c r="P217" s="18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6">
        <f t="shared" si="14"/>
        <v>43509.25</v>
      </c>
      <c r="T217" s="6">
        <f t="shared" si="15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16">
        <f t="shared" si="12"/>
        <v>155</v>
      </c>
      <c r="P218" s="18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6">
        <f t="shared" si="14"/>
        <v>40869.25</v>
      </c>
      <c r="T218" s="6">
        <f t="shared" si="15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16">
        <f t="shared" si="12"/>
        <v>45</v>
      </c>
      <c r="P219" s="18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4"/>
        <v>43583.208333333328</v>
      </c>
      <c r="T219" s="6">
        <f t="shared" si="15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16">
        <f t="shared" si="12"/>
        <v>216</v>
      </c>
      <c r="P220" s="18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6">
        <f t="shared" si="14"/>
        <v>40858.25</v>
      </c>
      <c r="T220" s="6">
        <f t="shared" si="15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6">
        <f t="shared" si="12"/>
        <v>332</v>
      </c>
      <c r="P221" s="18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6">
        <f t="shared" si="14"/>
        <v>41137.208333333336</v>
      </c>
      <c r="T221" s="6">
        <f t="shared" si="15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16">
        <f t="shared" si="12"/>
        <v>8</v>
      </c>
      <c r="P222" s="18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6">
        <f t="shared" si="14"/>
        <v>40725.208333333336</v>
      </c>
      <c r="T222" s="6">
        <f t="shared" si="15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16">
        <f t="shared" si="12"/>
        <v>99</v>
      </c>
      <c r="P223" s="18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6">
        <f t="shared" si="14"/>
        <v>41081.208333333336</v>
      </c>
      <c r="T223" s="6">
        <f t="shared" si="15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16">
        <f t="shared" si="12"/>
        <v>138</v>
      </c>
      <c r="P224" s="18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6">
        <f t="shared" si="14"/>
        <v>41914.208333333336</v>
      </c>
      <c r="T224" s="6">
        <f t="shared" si="15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16">
        <f t="shared" si="12"/>
        <v>94</v>
      </c>
      <c r="P225" s="18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6">
        <f t="shared" si="14"/>
        <v>42445.208333333328</v>
      </c>
      <c r="T225" s="6">
        <f t="shared" si="15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16">
        <f t="shared" si="12"/>
        <v>404</v>
      </c>
      <c r="P226" s="18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4"/>
        <v>41906.208333333336</v>
      </c>
      <c r="T226" s="6">
        <f t="shared" si="15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16">
        <f t="shared" si="12"/>
        <v>260</v>
      </c>
      <c r="P227" s="18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6">
        <f t="shared" si="14"/>
        <v>41762.208333333336</v>
      </c>
      <c r="T227" s="6">
        <f t="shared" si="15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16">
        <f t="shared" si="12"/>
        <v>367</v>
      </c>
      <c r="P228" s="1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6">
        <f t="shared" si="14"/>
        <v>40276.208333333336</v>
      </c>
      <c r="T228" s="6">
        <f t="shared" si="15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16">
        <f t="shared" si="12"/>
        <v>169</v>
      </c>
      <c r="P229" s="18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6">
        <f t="shared" si="14"/>
        <v>42139.208333333328</v>
      </c>
      <c r="T229" s="6">
        <f t="shared" si="15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16">
        <f t="shared" si="12"/>
        <v>120</v>
      </c>
      <c r="P230" s="18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6">
        <f t="shared" si="14"/>
        <v>42613.208333333328</v>
      </c>
      <c r="T230" s="6">
        <f t="shared" si="15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16">
        <f t="shared" si="12"/>
        <v>194</v>
      </c>
      <c r="P231" s="18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6">
        <f t="shared" si="14"/>
        <v>42887.208333333328</v>
      </c>
      <c r="T231" s="6">
        <f t="shared" si="15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16">
        <f t="shared" si="12"/>
        <v>420</v>
      </c>
      <c r="P232" s="18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6">
        <f t="shared" si="14"/>
        <v>43805.25</v>
      </c>
      <c r="T232" s="6">
        <f t="shared" si="15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6">
        <f t="shared" si="12"/>
        <v>77</v>
      </c>
      <c r="P233" s="18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6">
        <f t="shared" si="14"/>
        <v>41415.208333333336</v>
      </c>
      <c r="T233" s="6">
        <f t="shared" si="15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16">
        <f t="shared" si="12"/>
        <v>171</v>
      </c>
      <c r="P234" s="18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6">
        <f t="shared" si="14"/>
        <v>42576.208333333328</v>
      </c>
      <c r="T234" s="6">
        <f t="shared" si="15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16">
        <f t="shared" si="12"/>
        <v>158</v>
      </c>
      <c r="P235" s="18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6">
        <f t="shared" si="14"/>
        <v>40706.208333333336</v>
      </c>
      <c r="T235" s="6">
        <f t="shared" si="15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16">
        <f t="shared" si="12"/>
        <v>109</v>
      </c>
      <c r="P236" s="18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6">
        <f t="shared" si="14"/>
        <v>42969.208333333328</v>
      </c>
      <c r="T236" s="6">
        <f t="shared" si="15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16">
        <f t="shared" si="12"/>
        <v>42</v>
      </c>
      <c r="P237" s="18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6">
        <f t="shared" si="14"/>
        <v>42779.25</v>
      </c>
      <c r="T237" s="6">
        <f t="shared" si="15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16">
        <f t="shared" si="12"/>
        <v>11</v>
      </c>
      <c r="P238" s="1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6">
        <f t="shared" si="14"/>
        <v>43641.208333333328</v>
      </c>
      <c r="T238" s="6">
        <f t="shared" si="15"/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16">
        <f t="shared" si="12"/>
        <v>159</v>
      </c>
      <c r="P239" s="18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6">
        <f t="shared" si="14"/>
        <v>41754.208333333336</v>
      </c>
      <c r="T239" s="6">
        <f t="shared" si="15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16">
        <f t="shared" si="12"/>
        <v>422</v>
      </c>
      <c r="P240" s="18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6">
        <f t="shared" si="14"/>
        <v>43083.25</v>
      </c>
      <c r="T240" s="6">
        <f t="shared" si="15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16">
        <f t="shared" si="12"/>
        <v>98</v>
      </c>
      <c r="P241" s="18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6">
        <f t="shared" si="14"/>
        <v>42245.208333333328</v>
      </c>
      <c r="T241" s="6">
        <f t="shared" si="15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16">
        <f t="shared" si="12"/>
        <v>419</v>
      </c>
      <c r="P242" s="18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6">
        <f t="shared" si="14"/>
        <v>40396.208333333336</v>
      </c>
      <c r="T242" s="6">
        <f t="shared" si="15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16">
        <f t="shared" si="12"/>
        <v>102</v>
      </c>
      <c r="P243" s="18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6">
        <f t="shared" si="14"/>
        <v>41742.208333333336</v>
      </c>
      <c r="T243" s="6">
        <f t="shared" si="15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16">
        <f t="shared" si="12"/>
        <v>128</v>
      </c>
      <c r="P244" s="18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6">
        <f t="shared" si="14"/>
        <v>42865.208333333328</v>
      </c>
      <c r="T244" s="6">
        <f t="shared" si="15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16">
        <f t="shared" si="12"/>
        <v>445</v>
      </c>
      <c r="P245" s="18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6">
        <f t="shared" si="14"/>
        <v>43163.25</v>
      </c>
      <c r="T245" s="6">
        <f t="shared" si="15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16">
        <f t="shared" si="12"/>
        <v>570</v>
      </c>
      <c r="P246" s="18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6">
        <f t="shared" si="14"/>
        <v>41834.208333333336</v>
      </c>
      <c r="T246" s="6">
        <f t="shared" si="15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16">
        <f t="shared" si="12"/>
        <v>509</v>
      </c>
      <c r="P247" s="18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6">
        <f t="shared" si="14"/>
        <v>41736.208333333336</v>
      </c>
      <c r="T247" s="6">
        <f t="shared" si="15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16">
        <f t="shared" si="12"/>
        <v>326</v>
      </c>
      <c r="P248" s="1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6">
        <f t="shared" si="14"/>
        <v>41491.208333333336</v>
      </c>
      <c r="T248" s="6">
        <f t="shared" si="15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16">
        <f t="shared" si="12"/>
        <v>933</v>
      </c>
      <c r="P249" s="18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6">
        <f t="shared" si="14"/>
        <v>42726.25</v>
      </c>
      <c r="T249" s="6">
        <f t="shared" si="15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16">
        <f t="shared" si="12"/>
        <v>211</v>
      </c>
      <c r="P250" s="18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6">
        <f t="shared" si="14"/>
        <v>42004.25</v>
      </c>
      <c r="T250" s="6">
        <f t="shared" si="15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16">
        <f t="shared" si="12"/>
        <v>273</v>
      </c>
      <c r="P251" s="18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6">
        <f t="shared" si="14"/>
        <v>42006.25</v>
      </c>
      <c r="T251" s="6">
        <f t="shared" si="15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16">
        <f t="shared" si="12"/>
        <v>3</v>
      </c>
      <c r="P252" s="18">
        <f t="shared" si="13"/>
        <v>3</v>
      </c>
      <c r="Q252" t="str" cm="1">
        <f t="array" ref="Q252:R252">_xlfn.TEXTSPLIT(N252,"/")</f>
        <v>music</v>
      </c>
      <c r="R252" t="str">
        <v>rock</v>
      </c>
      <c r="S252" s="6">
        <f t="shared" si="14"/>
        <v>40203.25</v>
      </c>
      <c r="T252" s="6">
        <f t="shared" si="15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16">
        <f t="shared" si="12"/>
        <v>54</v>
      </c>
      <c r="P253" s="18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6">
        <f t="shared" si="14"/>
        <v>41252.25</v>
      </c>
      <c r="T253" s="6">
        <f t="shared" si="15"/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16">
        <f t="shared" si="12"/>
        <v>626</v>
      </c>
      <c r="P254" s="18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6">
        <f t="shared" si="14"/>
        <v>41572.208333333336</v>
      </c>
      <c r="T254" s="6">
        <f t="shared" si="15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16">
        <f t="shared" si="12"/>
        <v>89</v>
      </c>
      <c r="P255" s="18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6">
        <f t="shared" si="14"/>
        <v>40641.208333333336</v>
      </c>
      <c r="T255" s="6">
        <f t="shared" si="15"/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16">
        <f t="shared" si="12"/>
        <v>185</v>
      </c>
      <c r="P256" s="18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6">
        <f t="shared" si="14"/>
        <v>42787.25</v>
      </c>
      <c r="T256" s="6">
        <f t="shared" si="15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16">
        <f t="shared" si="12"/>
        <v>120</v>
      </c>
      <c r="P257" s="18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6">
        <f t="shared" si="14"/>
        <v>40590.25</v>
      </c>
      <c r="T257" s="6">
        <f t="shared" si="15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16">
        <f t="shared" si="12"/>
        <v>23</v>
      </c>
      <c r="P258" s="18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6">
        <f t="shared" si="14"/>
        <v>42393.25</v>
      </c>
      <c r="T258" s="6">
        <f t="shared" si="15"/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16">
        <f t="shared" ref="O259:O322" si="16">ROUND(E259/D259*100,0)</f>
        <v>146</v>
      </c>
      <c r="P259" s="18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6">
        <f t="shared" ref="S259:S322" si="18">(((J259/60)/60)/24)+DATE(1970,1,1)</f>
        <v>41338.25</v>
      </c>
      <c r="T259" s="6">
        <f t="shared" ref="T259:T322" si="19">(((K259/60)/60)/24)+DATE(1970,1,1)</f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16">
        <f t="shared" si="16"/>
        <v>268</v>
      </c>
      <c r="P260" s="18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6">
        <f t="shared" si="18"/>
        <v>42712.25</v>
      </c>
      <c r="T260" s="6">
        <f t="shared" si="19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16">
        <f t="shared" si="16"/>
        <v>598</v>
      </c>
      <c r="P261" s="18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6">
        <f t="shared" si="18"/>
        <v>41251.25</v>
      </c>
      <c r="T261" s="6">
        <f t="shared" si="19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16">
        <f t="shared" si="16"/>
        <v>158</v>
      </c>
      <c r="P262" s="18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6">
        <f t="shared" si="18"/>
        <v>41180.208333333336</v>
      </c>
      <c r="T262" s="6">
        <f t="shared" si="19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16">
        <f t="shared" si="16"/>
        <v>31</v>
      </c>
      <c r="P263" s="18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6">
        <f t="shared" si="18"/>
        <v>40415.208333333336</v>
      </c>
      <c r="T263" s="6">
        <f t="shared" si="19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16">
        <f t="shared" si="16"/>
        <v>313</v>
      </c>
      <c r="P264" s="18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6">
        <f t="shared" si="18"/>
        <v>40638.208333333336</v>
      </c>
      <c r="T264" s="6">
        <f t="shared" si="19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16">
        <f t="shared" si="16"/>
        <v>371</v>
      </c>
      <c r="P265" s="18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6">
        <f t="shared" si="18"/>
        <v>40187.25</v>
      </c>
      <c r="T265" s="6">
        <f t="shared" si="19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16">
        <f t="shared" si="16"/>
        <v>363</v>
      </c>
      <c r="P266" s="18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6">
        <f t="shared" si="18"/>
        <v>41317.25</v>
      </c>
      <c r="T266" s="6">
        <f t="shared" si="19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16">
        <f t="shared" si="16"/>
        <v>123</v>
      </c>
      <c r="P267" s="18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6">
        <f t="shared" si="18"/>
        <v>42372.25</v>
      </c>
      <c r="T267" s="6">
        <f t="shared" si="19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16">
        <f t="shared" si="16"/>
        <v>77</v>
      </c>
      <c r="P268" s="1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6">
        <f t="shared" si="18"/>
        <v>41950.25</v>
      </c>
      <c r="T268" s="6">
        <f t="shared" si="19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16">
        <f t="shared" si="16"/>
        <v>234</v>
      </c>
      <c r="P269" s="18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6">
        <f t="shared" si="18"/>
        <v>41206.208333333336</v>
      </c>
      <c r="T269" s="6">
        <f t="shared" si="19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16">
        <f t="shared" si="16"/>
        <v>181</v>
      </c>
      <c r="P270" s="18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6">
        <f t="shared" si="18"/>
        <v>41186.208333333336</v>
      </c>
      <c r="T270" s="6">
        <f t="shared" si="19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16">
        <f t="shared" si="16"/>
        <v>253</v>
      </c>
      <c r="P271" s="18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6">
        <f t="shared" si="18"/>
        <v>43496.25</v>
      </c>
      <c r="T271" s="6">
        <f t="shared" si="19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6">
        <f t="shared" si="16"/>
        <v>27</v>
      </c>
      <c r="P272" s="18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6">
        <f t="shared" si="18"/>
        <v>40514.25</v>
      </c>
      <c r="T272" s="6">
        <f t="shared" si="19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6">
        <f t="shared" si="16"/>
        <v>1</v>
      </c>
      <c r="P273" s="18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6">
        <f t="shared" si="18"/>
        <v>42345.25</v>
      </c>
      <c r="T273" s="6">
        <f t="shared" si="19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16">
        <f t="shared" si="16"/>
        <v>304</v>
      </c>
      <c r="P274" s="18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6">
        <f t="shared" si="18"/>
        <v>43656.208333333328</v>
      </c>
      <c r="T274" s="6">
        <f t="shared" si="19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16">
        <f t="shared" si="16"/>
        <v>137</v>
      </c>
      <c r="P275" s="18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6">
        <f t="shared" si="18"/>
        <v>42995.208333333328</v>
      </c>
      <c r="T275" s="6">
        <f t="shared" si="19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16">
        <f t="shared" si="16"/>
        <v>32</v>
      </c>
      <c r="P276" s="18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6">
        <f t="shared" si="18"/>
        <v>43045.25</v>
      </c>
      <c r="T276" s="6">
        <f t="shared" si="19"/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16">
        <f t="shared" si="16"/>
        <v>242</v>
      </c>
      <c r="P277" s="18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6">
        <f t="shared" si="18"/>
        <v>43561.208333333328</v>
      </c>
      <c r="T277" s="6">
        <f t="shared" si="19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16">
        <f t="shared" si="16"/>
        <v>97</v>
      </c>
      <c r="P278" s="1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6">
        <f t="shared" si="18"/>
        <v>41018.208333333336</v>
      </c>
      <c r="T278" s="6">
        <f t="shared" si="19"/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16">
        <f t="shared" si="16"/>
        <v>1066</v>
      </c>
      <c r="P279" s="18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6">
        <f t="shared" si="18"/>
        <v>40378.208333333336</v>
      </c>
      <c r="T279" s="6">
        <f t="shared" si="19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16">
        <f t="shared" si="16"/>
        <v>326</v>
      </c>
      <c r="P280" s="18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6">
        <f t="shared" si="18"/>
        <v>41239.25</v>
      </c>
      <c r="T280" s="6">
        <f t="shared" si="19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16">
        <f t="shared" si="16"/>
        <v>171</v>
      </c>
      <c r="P281" s="18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6">
        <f t="shared" si="18"/>
        <v>43346.208333333328</v>
      </c>
      <c r="T281" s="6">
        <f t="shared" si="19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16">
        <f t="shared" si="16"/>
        <v>581</v>
      </c>
      <c r="P282" s="18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6">
        <f t="shared" si="18"/>
        <v>43060.25</v>
      </c>
      <c r="T282" s="6">
        <f t="shared" si="19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16">
        <f t="shared" si="16"/>
        <v>92</v>
      </c>
      <c r="P283" s="18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6">
        <f t="shared" si="18"/>
        <v>40979.25</v>
      </c>
      <c r="T283" s="6">
        <f t="shared" si="19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16">
        <f t="shared" si="16"/>
        <v>108</v>
      </c>
      <c r="P284" s="18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6">
        <f t="shared" si="18"/>
        <v>42701.25</v>
      </c>
      <c r="T284" s="6">
        <f t="shared" si="19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16">
        <f t="shared" si="16"/>
        <v>19</v>
      </c>
      <c r="P285" s="18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6">
        <f t="shared" si="18"/>
        <v>42520.208333333328</v>
      </c>
      <c r="T285" s="6">
        <f t="shared" si="19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16">
        <f t="shared" si="16"/>
        <v>83</v>
      </c>
      <c r="P286" s="18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6">
        <f t="shared" si="18"/>
        <v>41030.208333333336</v>
      </c>
      <c r="T286" s="6">
        <f t="shared" si="19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16">
        <f t="shared" si="16"/>
        <v>706</v>
      </c>
      <c r="P287" s="18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6">
        <f t="shared" si="18"/>
        <v>42623.208333333328</v>
      </c>
      <c r="T287" s="6">
        <f t="shared" si="19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6">
        <f t="shared" si="16"/>
        <v>17</v>
      </c>
      <c r="P288" s="18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6">
        <f t="shared" si="18"/>
        <v>42697.25</v>
      </c>
      <c r="T288" s="6">
        <f t="shared" si="19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16">
        <f t="shared" si="16"/>
        <v>210</v>
      </c>
      <c r="P289" s="18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6">
        <f t="shared" si="18"/>
        <v>42122.208333333328</v>
      </c>
      <c r="T289" s="6">
        <f t="shared" si="19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16">
        <f t="shared" si="16"/>
        <v>98</v>
      </c>
      <c r="P290" s="18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6">
        <f t="shared" si="18"/>
        <v>40982.208333333336</v>
      </c>
      <c r="T290" s="6">
        <f t="shared" si="19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16">
        <f t="shared" si="16"/>
        <v>1684</v>
      </c>
      <c r="P291" s="18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6">
        <f t="shared" si="18"/>
        <v>42219.208333333328</v>
      </c>
      <c r="T291" s="6">
        <f t="shared" si="19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16">
        <f t="shared" si="16"/>
        <v>54</v>
      </c>
      <c r="P292" s="18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6">
        <f t="shared" si="18"/>
        <v>41404.208333333336</v>
      </c>
      <c r="T292" s="6">
        <f t="shared" si="19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16">
        <f t="shared" si="16"/>
        <v>457</v>
      </c>
      <c r="P293" s="18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6">
        <f t="shared" si="18"/>
        <v>40831.208333333336</v>
      </c>
      <c r="T293" s="6">
        <f t="shared" si="19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16">
        <f t="shared" si="16"/>
        <v>10</v>
      </c>
      <c r="P294" s="18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8"/>
        <v>40984.208333333336</v>
      </c>
      <c r="T294" s="6">
        <f t="shared" si="19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6">
        <f t="shared" si="16"/>
        <v>16</v>
      </c>
      <c r="P295" s="18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6">
        <f t="shared" si="18"/>
        <v>40456.208333333336</v>
      </c>
      <c r="T295" s="6">
        <f t="shared" si="19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16">
        <f t="shared" si="16"/>
        <v>1340</v>
      </c>
      <c r="P296" s="18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6">
        <f t="shared" si="18"/>
        <v>43399.208333333328</v>
      </c>
      <c r="T296" s="6">
        <f t="shared" si="19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16">
        <f t="shared" si="16"/>
        <v>36</v>
      </c>
      <c r="P297" s="18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6">
        <f t="shared" si="18"/>
        <v>41562.208333333336</v>
      </c>
      <c r="T297" s="6">
        <f t="shared" si="19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16">
        <f t="shared" si="16"/>
        <v>55</v>
      </c>
      <c r="P298" s="18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6">
        <f t="shared" si="18"/>
        <v>43493.25</v>
      </c>
      <c r="T298" s="6">
        <f t="shared" si="19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16">
        <f t="shared" si="16"/>
        <v>94</v>
      </c>
      <c r="P299" s="18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6">
        <f t="shared" si="18"/>
        <v>41653.25</v>
      </c>
      <c r="T299" s="6">
        <f t="shared" si="19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16">
        <f t="shared" si="16"/>
        <v>144</v>
      </c>
      <c r="P300" s="18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6">
        <f t="shared" si="18"/>
        <v>42426.25</v>
      </c>
      <c r="T300" s="6">
        <f t="shared" si="19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16">
        <f t="shared" si="16"/>
        <v>51</v>
      </c>
      <c r="P301" s="18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6">
        <f t="shared" si="18"/>
        <v>42432.25</v>
      </c>
      <c r="T301" s="6">
        <f t="shared" si="19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16">
        <f t="shared" si="16"/>
        <v>5</v>
      </c>
      <c r="P302" s="18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8"/>
        <v>42977.208333333328</v>
      </c>
      <c r="T302" s="6">
        <f t="shared" si="19"/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16">
        <f t="shared" si="16"/>
        <v>1345</v>
      </c>
      <c r="P303" s="18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6">
        <f t="shared" si="18"/>
        <v>42061.25</v>
      </c>
      <c r="T303" s="6">
        <f t="shared" si="19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16">
        <f t="shared" si="16"/>
        <v>32</v>
      </c>
      <c r="P304" s="18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6">
        <f t="shared" si="18"/>
        <v>43345.208333333328</v>
      </c>
      <c r="T304" s="6">
        <f t="shared" si="19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16">
        <f t="shared" si="16"/>
        <v>83</v>
      </c>
      <c r="P305" s="18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6">
        <f t="shared" si="18"/>
        <v>42376.25</v>
      </c>
      <c r="T305" s="6">
        <f t="shared" si="19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16">
        <f t="shared" si="16"/>
        <v>546</v>
      </c>
      <c r="P306" s="18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6">
        <f t="shared" si="18"/>
        <v>42589.208333333328</v>
      </c>
      <c r="T306" s="6">
        <f t="shared" si="19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16">
        <f t="shared" si="16"/>
        <v>286</v>
      </c>
      <c r="P307" s="18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6">
        <f t="shared" si="18"/>
        <v>42448.208333333328</v>
      </c>
      <c r="T307" s="6">
        <f t="shared" si="19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16">
        <f t="shared" si="16"/>
        <v>8</v>
      </c>
      <c r="P308" s="18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6">
        <f t="shared" si="18"/>
        <v>42930.208333333328</v>
      </c>
      <c r="T308" s="6">
        <f t="shared" si="19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16">
        <f t="shared" si="16"/>
        <v>132</v>
      </c>
      <c r="P309" s="18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6">
        <f t="shared" si="18"/>
        <v>41066.208333333336</v>
      </c>
      <c r="T309" s="6">
        <f t="shared" si="19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16">
        <f t="shared" si="16"/>
        <v>74</v>
      </c>
      <c r="P310" s="18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6">
        <f t="shared" si="18"/>
        <v>40651.208333333336</v>
      </c>
      <c r="T310" s="6">
        <f t="shared" si="19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6">
        <f t="shared" si="16"/>
        <v>75</v>
      </c>
      <c r="P311" s="18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8"/>
        <v>40807.208333333336</v>
      </c>
      <c r="T311" s="6">
        <f t="shared" si="19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16">
        <f t="shared" si="16"/>
        <v>20</v>
      </c>
      <c r="P312" s="18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6">
        <f t="shared" si="18"/>
        <v>40277.208333333336</v>
      </c>
      <c r="T312" s="6">
        <f t="shared" si="19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16">
        <f t="shared" si="16"/>
        <v>203</v>
      </c>
      <c r="P313" s="18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6">
        <f t="shared" si="18"/>
        <v>40590.25</v>
      </c>
      <c r="T313" s="6">
        <f t="shared" si="19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16">
        <f t="shared" si="16"/>
        <v>310</v>
      </c>
      <c r="P314" s="18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6">
        <f t="shared" si="18"/>
        <v>41572.208333333336</v>
      </c>
      <c r="T314" s="6">
        <f t="shared" si="19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16">
        <f t="shared" si="16"/>
        <v>395</v>
      </c>
      <c r="P315" s="18">
        <f t="shared" si="17"/>
        <v>39</v>
      </c>
      <c r="Q315" t="str" cm="1">
        <f t="array" ref="Q315:R315">_xlfn.TEXTSPLIT(N315,"/")</f>
        <v>music</v>
      </c>
      <c r="R315" t="str">
        <v>rock</v>
      </c>
      <c r="S315" s="6">
        <f t="shared" si="18"/>
        <v>40966.25</v>
      </c>
      <c r="T315" s="6">
        <f t="shared" si="19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16">
        <f t="shared" si="16"/>
        <v>295</v>
      </c>
      <c r="P316" s="18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6">
        <f t="shared" si="18"/>
        <v>43536.208333333328</v>
      </c>
      <c r="T316" s="6">
        <f t="shared" si="19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16">
        <f t="shared" si="16"/>
        <v>34</v>
      </c>
      <c r="P317" s="18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6">
        <f t="shared" si="18"/>
        <v>41783.208333333336</v>
      </c>
      <c r="T317" s="6">
        <f t="shared" si="19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16">
        <f t="shared" si="16"/>
        <v>67</v>
      </c>
      <c r="P318" s="1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6">
        <f t="shared" si="18"/>
        <v>43788.25</v>
      </c>
      <c r="T318" s="6">
        <f t="shared" si="19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16">
        <f t="shared" si="16"/>
        <v>19</v>
      </c>
      <c r="P319" s="18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8"/>
        <v>42869.208333333328</v>
      </c>
      <c r="T319" s="6">
        <f t="shared" si="19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16">
        <f t="shared" si="16"/>
        <v>16</v>
      </c>
      <c r="P320" s="18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6">
        <f t="shared" si="18"/>
        <v>41684.25</v>
      </c>
      <c r="T320" s="6">
        <f t="shared" si="19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6">
        <f t="shared" si="16"/>
        <v>39</v>
      </c>
      <c r="P321" s="18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6">
        <f t="shared" si="18"/>
        <v>40402.208333333336</v>
      </c>
      <c r="T321" s="6">
        <f t="shared" si="19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16">
        <f t="shared" si="16"/>
        <v>10</v>
      </c>
      <c r="P322" s="18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18"/>
        <v>40673.208333333336</v>
      </c>
      <c r="T322" s="6">
        <f t="shared" si="19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16">
        <f t="shared" ref="O323:O386" si="20">ROUND(E323/D323*100,0)</f>
        <v>94</v>
      </c>
      <c r="P323" s="18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6">
        <f t="shared" ref="S323:S386" si="22">(((J323/60)/60)/24)+DATE(1970,1,1)</f>
        <v>40634.208333333336</v>
      </c>
      <c r="T323" s="6">
        <f t="shared" ref="T323:T386" si="23">(((K323/60)/60)/24)+DATE(1970,1,1)</f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16">
        <f t="shared" si="20"/>
        <v>167</v>
      </c>
      <c r="P324" s="18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6">
        <f t="shared" si="22"/>
        <v>40507.25</v>
      </c>
      <c r="T324" s="6">
        <f t="shared" si="23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16">
        <f t="shared" si="20"/>
        <v>24</v>
      </c>
      <c r="P325" s="18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6">
        <f t="shared" si="22"/>
        <v>41725.208333333336</v>
      </c>
      <c r="T325" s="6">
        <f t="shared" si="23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16">
        <f t="shared" si="20"/>
        <v>164</v>
      </c>
      <c r="P326" s="18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6">
        <f t="shared" si="22"/>
        <v>42176.208333333328</v>
      </c>
      <c r="T326" s="6">
        <f t="shared" si="23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16">
        <f t="shared" si="20"/>
        <v>91</v>
      </c>
      <c r="P327" s="18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6">
        <f t="shared" si="22"/>
        <v>43267.208333333328</v>
      </c>
      <c r="T327" s="6">
        <f t="shared" si="23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16">
        <f t="shared" si="20"/>
        <v>46</v>
      </c>
      <c r="P328" s="1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6">
        <f t="shared" si="22"/>
        <v>42364.25</v>
      </c>
      <c r="T328" s="6">
        <f t="shared" si="23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16">
        <f t="shared" si="20"/>
        <v>39</v>
      </c>
      <c r="P329" s="18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6">
        <f t="shared" si="22"/>
        <v>43705.208333333328</v>
      </c>
      <c r="T329" s="6">
        <f t="shared" si="23"/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16">
        <f t="shared" si="20"/>
        <v>134</v>
      </c>
      <c r="P330" s="18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6">
        <f t="shared" si="22"/>
        <v>43434.25</v>
      </c>
      <c r="T330" s="6">
        <f t="shared" si="23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6">
        <f t="shared" si="20"/>
        <v>23</v>
      </c>
      <c r="P331" s="18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6">
        <f t="shared" si="22"/>
        <v>42716.25</v>
      </c>
      <c r="T331" s="6">
        <f t="shared" si="23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16">
        <f t="shared" si="20"/>
        <v>185</v>
      </c>
      <c r="P332" s="18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6">
        <f t="shared" si="22"/>
        <v>43077.25</v>
      </c>
      <c r="T332" s="6">
        <f t="shared" si="23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16">
        <f t="shared" si="20"/>
        <v>444</v>
      </c>
      <c r="P333" s="18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6">
        <f t="shared" si="22"/>
        <v>40896.25</v>
      </c>
      <c r="T333" s="6">
        <f t="shared" si="23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16">
        <f t="shared" si="20"/>
        <v>200</v>
      </c>
      <c r="P334" s="18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6">
        <f t="shared" si="22"/>
        <v>41361.208333333336</v>
      </c>
      <c r="T334" s="6">
        <f t="shared" si="23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16">
        <f t="shared" si="20"/>
        <v>124</v>
      </c>
      <c r="P335" s="18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6">
        <f t="shared" si="22"/>
        <v>43424.25</v>
      </c>
      <c r="T335" s="6">
        <f t="shared" si="23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16">
        <f t="shared" si="20"/>
        <v>187</v>
      </c>
      <c r="P336" s="18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6">
        <f t="shared" si="22"/>
        <v>43110.25</v>
      </c>
      <c r="T336" s="6">
        <f t="shared" si="23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16">
        <f t="shared" si="20"/>
        <v>114</v>
      </c>
      <c r="P337" s="18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6">
        <f t="shared" si="22"/>
        <v>43784.25</v>
      </c>
      <c r="T337" s="6">
        <f t="shared" si="23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16">
        <f t="shared" si="20"/>
        <v>97</v>
      </c>
      <c r="P338" s="1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6">
        <f t="shared" si="22"/>
        <v>40527.25</v>
      </c>
      <c r="T338" s="6">
        <f t="shared" si="23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16">
        <f t="shared" si="20"/>
        <v>123</v>
      </c>
      <c r="P339" s="18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6">
        <f t="shared" si="22"/>
        <v>43780.25</v>
      </c>
      <c r="T339" s="6">
        <f t="shared" si="23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16">
        <f t="shared" si="20"/>
        <v>179</v>
      </c>
      <c r="P340" s="18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6">
        <f t="shared" si="22"/>
        <v>40821.208333333336</v>
      </c>
      <c r="T340" s="6">
        <f t="shared" si="23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6">
        <f t="shared" si="20"/>
        <v>80</v>
      </c>
      <c r="P341" s="18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6">
        <f t="shared" si="22"/>
        <v>42949.208333333328</v>
      </c>
      <c r="T341" s="6">
        <f t="shared" si="23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16">
        <f t="shared" si="20"/>
        <v>94</v>
      </c>
      <c r="P342" s="18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6">
        <f t="shared" si="22"/>
        <v>40889.25</v>
      </c>
      <c r="T342" s="6">
        <f t="shared" si="23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16">
        <f t="shared" si="20"/>
        <v>85</v>
      </c>
      <c r="P343" s="18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6">
        <f t="shared" si="22"/>
        <v>42244.208333333328</v>
      </c>
      <c r="T343" s="6">
        <f t="shared" si="23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16">
        <f t="shared" si="20"/>
        <v>67</v>
      </c>
      <c r="P344" s="18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6">
        <f t="shared" si="22"/>
        <v>41475.208333333336</v>
      </c>
      <c r="T344" s="6">
        <f t="shared" si="23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16">
        <f t="shared" si="20"/>
        <v>54</v>
      </c>
      <c r="P345" s="18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6">
        <f t="shared" si="22"/>
        <v>41597.25</v>
      </c>
      <c r="T345" s="6">
        <f t="shared" si="23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16">
        <f t="shared" si="20"/>
        <v>42</v>
      </c>
      <c r="P346" s="18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6">
        <f t="shared" si="22"/>
        <v>43122.25</v>
      </c>
      <c r="T346" s="6">
        <f t="shared" si="23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16">
        <f t="shared" si="20"/>
        <v>15</v>
      </c>
      <c r="P347" s="18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6">
        <f t="shared" si="22"/>
        <v>42194.208333333328</v>
      </c>
      <c r="T347" s="6">
        <f t="shared" si="23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16">
        <f t="shared" si="20"/>
        <v>34</v>
      </c>
      <c r="P348" s="1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2"/>
        <v>42971.208333333328</v>
      </c>
      <c r="T348" s="6">
        <f t="shared" si="23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16">
        <f t="shared" si="20"/>
        <v>1401</v>
      </c>
      <c r="P349" s="18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6">
        <f t="shared" si="22"/>
        <v>42046.25</v>
      </c>
      <c r="T349" s="6">
        <f t="shared" si="23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16">
        <f t="shared" si="20"/>
        <v>72</v>
      </c>
      <c r="P350" s="18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6">
        <f t="shared" si="22"/>
        <v>42782.25</v>
      </c>
      <c r="T350" s="6">
        <f t="shared" si="23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16">
        <f t="shared" si="20"/>
        <v>53</v>
      </c>
      <c r="P351" s="18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6">
        <f t="shared" si="22"/>
        <v>42930.208333333328</v>
      </c>
      <c r="T351" s="6">
        <f t="shared" si="23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16">
        <f t="shared" si="20"/>
        <v>5</v>
      </c>
      <c r="P352" s="18">
        <f t="shared" si="21"/>
        <v>5</v>
      </c>
      <c r="Q352" t="str" cm="1">
        <f t="array" ref="Q352:R352">_xlfn.TEXTSPLIT(N352,"/")</f>
        <v>music</v>
      </c>
      <c r="R352" t="str">
        <v>jazz</v>
      </c>
      <c r="S352" s="6">
        <f t="shared" si="22"/>
        <v>42144.208333333328</v>
      </c>
      <c r="T352" s="6">
        <f t="shared" si="23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16">
        <f t="shared" si="20"/>
        <v>128</v>
      </c>
      <c r="P353" s="18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6">
        <f t="shared" si="22"/>
        <v>42240.208333333328</v>
      </c>
      <c r="T353" s="6">
        <f t="shared" si="23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16">
        <f t="shared" si="20"/>
        <v>35</v>
      </c>
      <c r="P354" s="18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6">
        <f t="shared" si="22"/>
        <v>42315.25</v>
      </c>
      <c r="T354" s="6">
        <f t="shared" si="23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16">
        <f t="shared" si="20"/>
        <v>411</v>
      </c>
      <c r="P355" s="18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6">
        <f t="shared" si="22"/>
        <v>43651.208333333328</v>
      </c>
      <c r="T355" s="6">
        <f t="shared" si="23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16">
        <f t="shared" si="20"/>
        <v>124</v>
      </c>
      <c r="P356" s="18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2"/>
        <v>41520.208333333336</v>
      </c>
      <c r="T356" s="6">
        <f t="shared" si="23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6">
        <f t="shared" si="20"/>
        <v>59</v>
      </c>
      <c r="P357" s="18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6">
        <f t="shared" si="22"/>
        <v>42757.25</v>
      </c>
      <c r="T357" s="6">
        <f t="shared" si="23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16">
        <f t="shared" si="20"/>
        <v>37</v>
      </c>
      <c r="P358" s="18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6">
        <f t="shared" si="22"/>
        <v>40922.25</v>
      </c>
      <c r="T358" s="6">
        <f t="shared" si="23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16">
        <f t="shared" si="20"/>
        <v>185</v>
      </c>
      <c r="P359" s="18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6">
        <f t="shared" si="22"/>
        <v>42250.208333333328</v>
      </c>
      <c r="T359" s="6">
        <f t="shared" si="23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16">
        <f t="shared" si="20"/>
        <v>12</v>
      </c>
      <c r="P360" s="18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6">
        <f t="shared" si="22"/>
        <v>43322.208333333328</v>
      </c>
      <c r="T360" s="6">
        <f t="shared" si="23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16">
        <f t="shared" si="20"/>
        <v>299</v>
      </c>
      <c r="P361" s="18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6">
        <f t="shared" si="22"/>
        <v>40782.208333333336</v>
      </c>
      <c r="T361" s="6">
        <f t="shared" si="23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16">
        <f t="shared" si="20"/>
        <v>226</v>
      </c>
      <c r="P362" s="18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6">
        <f t="shared" si="22"/>
        <v>40544.25</v>
      </c>
      <c r="T362" s="6">
        <f t="shared" si="23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16">
        <f t="shared" si="20"/>
        <v>174</v>
      </c>
      <c r="P363" s="18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6">
        <f t="shared" si="22"/>
        <v>43015.208333333328</v>
      </c>
      <c r="T363" s="6">
        <f t="shared" si="23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16">
        <f t="shared" si="20"/>
        <v>372</v>
      </c>
      <c r="P364" s="18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6">
        <f t="shared" si="22"/>
        <v>40570.25</v>
      </c>
      <c r="T364" s="6">
        <f t="shared" si="23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16">
        <f t="shared" si="20"/>
        <v>160</v>
      </c>
      <c r="P365" s="18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6">
        <f t="shared" si="22"/>
        <v>40904.25</v>
      </c>
      <c r="T365" s="6">
        <f t="shared" si="23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16">
        <f t="shared" si="20"/>
        <v>1616</v>
      </c>
      <c r="P366" s="18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6">
        <f t="shared" si="22"/>
        <v>43164.25</v>
      </c>
      <c r="T366" s="6">
        <f t="shared" si="23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16">
        <f t="shared" si="20"/>
        <v>733</v>
      </c>
      <c r="P367" s="18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6">
        <f t="shared" si="22"/>
        <v>42733.25</v>
      </c>
      <c r="T367" s="6">
        <f t="shared" si="23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16">
        <f t="shared" si="20"/>
        <v>592</v>
      </c>
      <c r="P368" s="18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6">
        <f t="shared" si="22"/>
        <v>40546.25</v>
      </c>
      <c r="T368" s="6">
        <f t="shared" si="23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16">
        <f t="shared" si="20"/>
        <v>19</v>
      </c>
      <c r="P369" s="18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6">
        <f t="shared" si="22"/>
        <v>41930.208333333336</v>
      </c>
      <c r="T369" s="6">
        <f t="shared" si="23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16">
        <f t="shared" si="20"/>
        <v>277</v>
      </c>
      <c r="P370" s="18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6">
        <f t="shared" si="22"/>
        <v>40464.208333333336</v>
      </c>
      <c r="T370" s="6">
        <f t="shared" si="23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16">
        <f t="shared" si="20"/>
        <v>273</v>
      </c>
      <c r="P371" s="18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6">
        <f t="shared" si="22"/>
        <v>41308.25</v>
      </c>
      <c r="T371" s="6">
        <f t="shared" si="23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16">
        <f t="shared" si="20"/>
        <v>159</v>
      </c>
      <c r="P372" s="18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6">
        <f t="shared" si="22"/>
        <v>43570.208333333328</v>
      </c>
      <c r="T372" s="6">
        <f t="shared" si="23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16">
        <f t="shared" si="20"/>
        <v>68</v>
      </c>
      <c r="P373" s="18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6">
        <f t="shared" si="22"/>
        <v>42043.25</v>
      </c>
      <c r="T373" s="6">
        <f t="shared" si="23"/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16">
        <f t="shared" si="20"/>
        <v>1592</v>
      </c>
      <c r="P374" s="18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6">
        <f t="shared" si="22"/>
        <v>42012.25</v>
      </c>
      <c r="T374" s="6">
        <f t="shared" si="23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16">
        <f t="shared" si="20"/>
        <v>730</v>
      </c>
      <c r="P375" s="18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6">
        <f t="shared" si="22"/>
        <v>42964.208333333328</v>
      </c>
      <c r="T375" s="6">
        <f t="shared" si="23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16">
        <f t="shared" si="20"/>
        <v>13</v>
      </c>
      <c r="P376" s="18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6">
        <f t="shared" si="22"/>
        <v>43476.25</v>
      </c>
      <c r="T376" s="6">
        <f t="shared" si="23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16">
        <f t="shared" si="20"/>
        <v>55</v>
      </c>
      <c r="P377" s="18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2"/>
        <v>42293.208333333328</v>
      </c>
      <c r="T377" s="6">
        <f t="shared" si="23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16">
        <f t="shared" si="20"/>
        <v>361</v>
      </c>
      <c r="P378" s="1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6">
        <f t="shared" si="22"/>
        <v>41826.208333333336</v>
      </c>
      <c r="T378" s="6">
        <f t="shared" si="23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16">
        <f t="shared" si="20"/>
        <v>10</v>
      </c>
      <c r="P379" s="18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6">
        <f t="shared" si="22"/>
        <v>43760.208333333328</v>
      </c>
      <c r="T379" s="6">
        <f t="shared" si="23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16">
        <f t="shared" si="20"/>
        <v>14</v>
      </c>
      <c r="P380" s="18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6">
        <f t="shared" si="22"/>
        <v>43241.208333333328</v>
      </c>
      <c r="T380" s="6">
        <f t="shared" si="23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16">
        <f t="shared" si="20"/>
        <v>40</v>
      </c>
      <c r="P381" s="18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6">
        <f t="shared" si="22"/>
        <v>40843.208333333336</v>
      </c>
      <c r="T381" s="6">
        <f t="shared" si="23"/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16">
        <f t="shared" si="20"/>
        <v>160</v>
      </c>
      <c r="P382" s="18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6">
        <f t="shared" si="22"/>
        <v>41448.208333333336</v>
      </c>
      <c r="T382" s="6">
        <f t="shared" si="23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16">
        <f t="shared" si="20"/>
        <v>184</v>
      </c>
      <c r="P383" s="18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6">
        <f t="shared" si="22"/>
        <v>42163.208333333328</v>
      </c>
      <c r="T383" s="6">
        <f t="shared" si="23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16">
        <f t="shared" si="20"/>
        <v>64</v>
      </c>
      <c r="P384" s="18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6">
        <f t="shared" si="22"/>
        <v>43024.208333333328</v>
      </c>
      <c r="T384" s="6">
        <f t="shared" si="23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16">
        <f t="shared" si="20"/>
        <v>225</v>
      </c>
      <c r="P385" s="18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6">
        <f t="shared" si="22"/>
        <v>43509.25</v>
      </c>
      <c r="T385" s="6">
        <f t="shared" si="23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16">
        <f t="shared" si="20"/>
        <v>172</v>
      </c>
      <c r="P386" s="18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6">
        <f t="shared" si="22"/>
        <v>42776.25</v>
      </c>
      <c r="T386" s="6">
        <f t="shared" si="23"/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16">
        <f t="shared" ref="O387:O450" si="24">ROUND(E387/D387*100,0)</f>
        <v>146</v>
      </c>
      <c r="P387" s="18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6">
        <f t="shared" ref="S387:S450" si="26">(((J387/60)/60)/24)+DATE(1970,1,1)</f>
        <v>43553.208333333328</v>
      </c>
      <c r="T387" s="6">
        <f t="shared" ref="T387:T450" si="27">(((K387/60)/60)/24)+DATE(1970,1,1)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16">
        <f t="shared" si="24"/>
        <v>76</v>
      </c>
      <c r="P388" s="18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6">
        <f t="shared" si="26"/>
        <v>40355.208333333336</v>
      </c>
      <c r="T388" s="6">
        <f t="shared" si="27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16">
        <f t="shared" si="24"/>
        <v>39</v>
      </c>
      <c r="P389" s="18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6">
        <f t="shared" si="26"/>
        <v>41072.208333333336</v>
      </c>
      <c r="T389" s="6">
        <f t="shared" si="27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6">
        <f t="shared" si="24"/>
        <v>11</v>
      </c>
      <c r="P390" s="18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6">
        <f t="shared" si="26"/>
        <v>40912.25</v>
      </c>
      <c r="T390" s="6">
        <f t="shared" si="27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16">
        <f t="shared" si="24"/>
        <v>122</v>
      </c>
      <c r="P391" s="18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6">
        <f t="shared" si="26"/>
        <v>40479.208333333336</v>
      </c>
      <c r="T391" s="6">
        <f t="shared" si="27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16">
        <f t="shared" si="24"/>
        <v>187</v>
      </c>
      <c r="P392" s="18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6"/>
        <v>41530.208333333336</v>
      </c>
      <c r="T392" s="6">
        <f t="shared" si="27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16">
        <f t="shared" si="24"/>
        <v>7</v>
      </c>
      <c r="P393" s="18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6">
        <f t="shared" si="26"/>
        <v>41653.25</v>
      </c>
      <c r="T393" s="6">
        <f t="shared" si="27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16">
        <f t="shared" si="24"/>
        <v>66</v>
      </c>
      <c r="P394" s="18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6">
        <f t="shared" si="26"/>
        <v>40549.25</v>
      </c>
      <c r="T394" s="6">
        <f t="shared" si="27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16">
        <f t="shared" si="24"/>
        <v>229</v>
      </c>
      <c r="P395" s="18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6">
        <f t="shared" si="26"/>
        <v>42933.208333333328</v>
      </c>
      <c r="T395" s="6">
        <f t="shared" si="27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16">
        <f t="shared" si="24"/>
        <v>469</v>
      </c>
      <c r="P396" s="18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6">
        <f t="shared" si="26"/>
        <v>41484.208333333336</v>
      </c>
      <c r="T396" s="6">
        <f t="shared" si="27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16">
        <f t="shared" si="24"/>
        <v>130</v>
      </c>
      <c r="P397" s="18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6">
        <f t="shared" si="26"/>
        <v>40885.25</v>
      </c>
      <c r="T397" s="6">
        <f t="shared" si="27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16">
        <f t="shared" si="24"/>
        <v>167</v>
      </c>
      <c r="P398" s="1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6">
        <f t="shared" si="26"/>
        <v>43378.208333333328</v>
      </c>
      <c r="T398" s="6">
        <f t="shared" si="27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16">
        <f t="shared" si="24"/>
        <v>174</v>
      </c>
      <c r="P399" s="18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6">
        <f t="shared" si="26"/>
        <v>41417.208333333336</v>
      </c>
      <c r="T399" s="6">
        <f t="shared" si="27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16">
        <f t="shared" si="24"/>
        <v>718</v>
      </c>
      <c r="P400" s="18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6">
        <f t="shared" si="26"/>
        <v>43228.208333333328</v>
      </c>
      <c r="T400" s="6">
        <f t="shared" si="27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16">
        <f t="shared" si="24"/>
        <v>64</v>
      </c>
      <c r="P401" s="18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6">
        <f t="shared" si="26"/>
        <v>40576.25</v>
      </c>
      <c r="T401" s="6">
        <f t="shared" si="27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16">
        <f t="shared" si="24"/>
        <v>2</v>
      </c>
      <c r="P402" s="18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6"/>
        <v>41502.208333333336</v>
      </c>
      <c r="T402" s="6">
        <f t="shared" si="27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16">
        <f t="shared" si="24"/>
        <v>1530</v>
      </c>
      <c r="P403" s="18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6">
        <f t="shared" si="26"/>
        <v>43765.208333333328</v>
      </c>
      <c r="T403" s="6">
        <f t="shared" si="27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16">
        <f t="shared" si="24"/>
        <v>40</v>
      </c>
      <c r="P404" s="18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6"/>
        <v>40914.25</v>
      </c>
      <c r="T404" s="6">
        <f t="shared" si="27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16">
        <f t="shared" si="24"/>
        <v>86</v>
      </c>
      <c r="P405" s="18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6">
        <f t="shared" si="26"/>
        <v>40310.208333333336</v>
      </c>
      <c r="T405" s="6">
        <f t="shared" si="27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16">
        <f t="shared" si="24"/>
        <v>316</v>
      </c>
      <c r="P406" s="18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6">
        <f t="shared" si="26"/>
        <v>43053.25</v>
      </c>
      <c r="T406" s="6">
        <f t="shared" si="27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16">
        <f t="shared" si="24"/>
        <v>90</v>
      </c>
      <c r="P407" s="18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6">
        <f t="shared" si="26"/>
        <v>43255.208333333328</v>
      </c>
      <c r="T407" s="6">
        <f t="shared" si="27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16">
        <f t="shared" si="24"/>
        <v>182</v>
      </c>
      <c r="P408" s="1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6">
        <f t="shared" si="26"/>
        <v>41304.25</v>
      </c>
      <c r="T408" s="6">
        <f t="shared" si="27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16">
        <f t="shared" si="24"/>
        <v>356</v>
      </c>
      <c r="P409" s="18">
        <f t="shared" si="25"/>
        <v>25</v>
      </c>
      <c r="Q409" t="str" cm="1">
        <f t="array" ref="Q409:R409">_xlfn.TEXTSPLIT(N409,"/")</f>
        <v>theater</v>
      </c>
      <c r="R409" t="str">
        <v>plays</v>
      </c>
      <c r="S409" s="6">
        <f t="shared" si="26"/>
        <v>43751.208333333328</v>
      </c>
      <c r="T409" s="6">
        <f t="shared" si="27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16">
        <f t="shared" si="24"/>
        <v>132</v>
      </c>
      <c r="P410" s="18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6">
        <f t="shared" si="26"/>
        <v>42541.208333333328</v>
      </c>
      <c r="T410" s="6">
        <f t="shared" si="27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16">
        <f t="shared" si="24"/>
        <v>46</v>
      </c>
      <c r="P411" s="18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6">
        <f t="shared" si="26"/>
        <v>42843.208333333328</v>
      </c>
      <c r="T411" s="6">
        <f t="shared" si="27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6">
        <f t="shared" si="24"/>
        <v>36</v>
      </c>
      <c r="P412" s="18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6">
        <f t="shared" si="26"/>
        <v>42122.208333333328</v>
      </c>
      <c r="T412" s="6">
        <f t="shared" si="27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16">
        <f t="shared" si="24"/>
        <v>105</v>
      </c>
      <c r="P413" s="18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6">
        <f t="shared" si="26"/>
        <v>42884.208333333328</v>
      </c>
      <c r="T413" s="6">
        <f t="shared" si="27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16">
        <f t="shared" si="24"/>
        <v>669</v>
      </c>
      <c r="P414" s="18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6">
        <f t="shared" si="26"/>
        <v>41642.25</v>
      </c>
      <c r="T414" s="6">
        <f t="shared" si="27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6">
        <f t="shared" si="24"/>
        <v>62</v>
      </c>
      <c r="P415" s="18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6">
        <f t="shared" si="26"/>
        <v>43431.25</v>
      </c>
      <c r="T415" s="6">
        <f t="shared" si="27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16">
        <f t="shared" si="24"/>
        <v>85</v>
      </c>
      <c r="P416" s="18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6">
        <f t="shared" si="26"/>
        <v>40288.208333333336</v>
      </c>
      <c r="T416" s="6">
        <f t="shared" si="27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16">
        <f t="shared" si="24"/>
        <v>11</v>
      </c>
      <c r="P417" s="18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6">
        <f t="shared" si="26"/>
        <v>40921.25</v>
      </c>
      <c r="T417" s="6">
        <f t="shared" si="27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16">
        <f t="shared" si="24"/>
        <v>44</v>
      </c>
      <c r="P418" s="1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6">
        <f t="shared" si="26"/>
        <v>40560.25</v>
      </c>
      <c r="T418" s="6">
        <f t="shared" si="27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16">
        <f t="shared" si="24"/>
        <v>55</v>
      </c>
      <c r="P419" s="18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6">
        <f t="shared" si="26"/>
        <v>43407.208333333328</v>
      </c>
      <c r="T419" s="6">
        <f t="shared" si="27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16">
        <f t="shared" si="24"/>
        <v>57</v>
      </c>
      <c r="P420" s="18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6">
        <f t="shared" si="26"/>
        <v>41035.208333333336</v>
      </c>
      <c r="T420" s="6">
        <f t="shared" si="27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16">
        <f t="shared" si="24"/>
        <v>123</v>
      </c>
      <c r="P421" s="18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6">
        <f t="shared" si="26"/>
        <v>40899.25</v>
      </c>
      <c r="T421" s="6">
        <f t="shared" si="27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16">
        <f t="shared" si="24"/>
        <v>128</v>
      </c>
      <c r="P422" s="18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6">
        <f t="shared" si="26"/>
        <v>42911.208333333328</v>
      </c>
      <c r="T422" s="6">
        <f t="shared" si="27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16">
        <f t="shared" si="24"/>
        <v>64</v>
      </c>
      <c r="P423" s="18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6">
        <f t="shared" si="26"/>
        <v>42915.208333333328</v>
      </c>
      <c r="T423" s="6">
        <f t="shared" si="27"/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16">
        <f t="shared" si="24"/>
        <v>127</v>
      </c>
      <c r="P424" s="18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6">
        <f t="shared" si="26"/>
        <v>40285.208333333336</v>
      </c>
      <c r="T424" s="6">
        <f t="shared" si="27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16">
        <f t="shared" si="24"/>
        <v>11</v>
      </c>
      <c r="P425" s="18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6">
        <f t="shared" si="26"/>
        <v>40808.208333333336</v>
      </c>
      <c r="T425" s="6">
        <f t="shared" si="27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16">
        <f t="shared" si="24"/>
        <v>40</v>
      </c>
      <c r="P426" s="18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6">
        <f t="shared" si="26"/>
        <v>43208.208333333328</v>
      </c>
      <c r="T426" s="6">
        <f t="shared" si="27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16">
        <f t="shared" si="24"/>
        <v>288</v>
      </c>
      <c r="P427" s="18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6">
        <f t="shared" si="26"/>
        <v>42213.208333333328</v>
      </c>
      <c r="T427" s="6">
        <f t="shared" si="27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16">
        <f t="shared" si="24"/>
        <v>573</v>
      </c>
      <c r="P428" s="18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6">
        <f t="shared" si="26"/>
        <v>41332.25</v>
      </c>
      <c r="T428" s="6">
        <f t="shared" si="27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16">
        <f t="shared" si="24"/>
        <v>113</v>
      </c>
      <c r="P429" s="18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6">
        <f t="shared" si="26"/>
        <v>41895.208333333336</v>
      </c>
      <c r="T429" s="6">
        <f t="shared" si="27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16">
        <f t="shared" si="24"/>
        <v>46</v>
      </c>
      <c r="P430" s="18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6">
        <f t="shared" si="26"/>
        <v>40585.25</v>
      </c>
      <c r="T430" s="6">
        <f t="shared" si="27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6">
        <f t="shared" si="24"/>
        <v>91</v>
      </c>
      <c r="P431" s="18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6">
        <f t="shared" si="26"/>
        <v>41680.25</v>
      </c>
      <c r="T431" s="6">
        <f t="shared" si="27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16">
        <f t="shared" si="24"/>
        <v>68</v>
      </c>
      <c r="P432" s="18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6">
        <f t="shared" si="26"/>
        <v>43737.208333333328</v>
      </c>
      <c r="T432" s="6">
        <f t="shared" si="27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16">
        <f t="shared" si="24"/>
        <v>192</v>
      </c>
      <c r="P433" s="18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6">
        <f t="shared" si="26"/>
        <v>43273.208333333328</v>
      </c>
      <c r="T433" s="6">
        <f t="shared" si="27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16">
        <f t="shared" si="24"/>
        <v>83</v>
      </c>
      <c r="P434" s="18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6">
        <f t="shared" si="26"/>
        <v>41761.208333333336</v>
      </c>
      <c r="T434" s="6">
        <f t="shared" si="27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16">
        <f t="shared" si="24"/>
        <v>54</v>
      </c>
      <c r="P435" s="18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6">
        <f t="shared" si="26"/>
        <v>41603.25</v>
      </c>
      <c r="T435" s="6">
        <f t="shared" si="27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6">
        <f t="shared" si="24"/>
        <v>17</v>
      </c>
      <c r="P436" s="18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6"/>
        <v>42705.25</v>
      </c>
      <c r="T436" s="6">
        <f t="shared" si="27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16">
        <f t="shared" si="24"/>
        <v>117</v>
      </c>
      <c r="P437" s="18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6">
        <f t="shared" si="26"/>
        <v>41988.25</v>
      </c>
      <c r="T437" s="6">
        <f t="shared" si="27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16">
        <f t="shared" si="24"/>
        <v>1052</v>
      </c>
      <c r="P438" s="1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6">
        <f t="shared" si="26"/>
        <v>43575.208333333328</v>
      </c>
      <c r="T438" s="6">
        <f t="shared" si="27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16">
        <f t="shared" si="24"/>
        <v>123</v>
      </c>
      <c r="P439" s="18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6">
        <f t="shared" si="26"/>
        <v>42260.208333333328</v>
      </c>
      <c r="T439" s="6">
        <f t="shared" si="27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16">
        <f t="shared" si="24"/>
        <v>179</v>
      </c>
      <c r="P440" s="18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6">
        <f t="shared" si="26"/>
        <v>41337.25</v>
      </c>
      <c r="T440" s="6">
        <f t="shared" si="27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16">
        <f t="shared" si="24"/>
        <v>355</v>
      </c>
      <c r="P441" s="18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6"/>
        <v>42680.208333333328</v>
      </c>
      <c r="T441" s="6">
        <f t="shared" si="27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16">
        <f t="shared" si="24"/>
        <v>162</v>
      </c>
      <c r="P442" s="18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6">
        <f t="shared" si="26"/>
        <v>42916.208333333328</v>
      </c>
      <c r="T442" s="6">
        <f t="shared" si="27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16">
        <f t="shared" si="24"/>
        <v>25</v>
      </c>
      <c r="P443" s="18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6"/>
        <v>41025.208333333336</v>
      </c>
      <c r="T443" s="6">
        <f t="shared" si="27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16">
        <f t="shared" si="24"/>
        <v>199</v>
      </c>
      <c r="P444" s="18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6">
        <f t="shared" si="26"/>
        <v>42980.208333333328</v>
      </c>
      <c r="T444" s="6">
        <f t="shared" si="27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6">
        <f t="shared" si="24"/>
        <v>35</v>
      </c>
      <c r="P445" s="18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6">
        <f t="shared" si="26"/>
        <v>40451.208333333336</v>
      </c>
      <c r="T445" s="6">
        <f t="shared" si="27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16">
        <f t="shared" si="24"/>
        <v>176</v>
      </c>
      <c r="P446" s="18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6">
        <f t="shared" si="26"/>
        <v>40748.208333333336</v>
      </c>
      <c r="T446" s="6">
        <f t="shared" si="27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16">
        <f t="shared" si="24"/>
        <v>511</v>
      </c>
      <c r="P447" s="18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6">
        <f t="shared" si="26"/>
        <v>40515.25</v>
      </c>
      <c r="T447" s="6">
        <f t="shared" si="27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16">
        <f t="shared" si="24"/>
        <v>82</v>
      </c>
      <c r="P448" s="1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6">
        <f t="shared" si="26"/>
        <v>41261.25</v>
      </c>
      <c r="T448" s="6">
        <f t="shared" si="27"/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6">
        <f t="shared" si="24"/>
        <v>24</v>
      </c>
      <c r="P449" s="18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6"/>
        <v>43088.25</v>
      </c>
      <c r="T449" s="6">
        <f t="shared" si="27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16">
        <f t="shared" si="24"/>
        <v>50</v>
      </c>
      <c r="P450" s="18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6">
        <f t="shared" si="26"/>
        <v>41378.208333333336</v>
      </c>
      <c r="T450" s="6">
        <f t="shared" si="27"/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16">
        <f t="shared" ref="O451:O514" si="28">ROUND(E451/D451*100,0)</f>
        <v>967</v>
      </c>
      <c r="P451" s="18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6">
        <f t="shared" ref="S451:S514" si="30">(((J451/60)/60)/24)+DATE(1970,1,1)</f>
        <v>43530.25</v>
      </c>
      <c r="T451" s="6">
        <f t="shared" ref="T451:T514" si="31">(((K451/60)/60)/24)+DATE(1970,1,1)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16">
        <f t="shared" si="28"/>
        <v>4</v>
      </c>
      <c r="P452" s="18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30"/>
        <v>43394.208333333328</v>
      </c>
      <c r="T452" s="6">
        <f t="shared" si="31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16">
        <f t="shared" si="28"/>
        <v>123</v>
      </c>
      <c r="P453" s="18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6">
        <f t="shared" si="30"/>
        <v>42935.208333333328</v>
      </c>
      <c r="T453" s="6">
        <f t="shared" si="31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16">
        <f t="shared" si="28"/>
        <v>63</v>
      </c>
      <c r="P454" s="18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6">
        <f t="shared" si="30"/>
        <v>40365.208333333336</v>
      </c>
      <c r="T454" s="6">
        <f t="shared" si="31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16">
        <f t="shared" si="28"/>
        <v>56</v>
      </c>
      <c r="P455" s="18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30"/>
        <v>42705.25</v>
      </c>
      <c r="T455" s="6">
        <f t="shared" si="31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16">
        <f t="shared" si="28"/>
        <v>44</v>
      </c>
      <c r="P456" s="18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6">
        <f t="shared" si="30"/>
        <v>41568.208333333336</v>
      </c>
      <c r="T456" s="6">
        <f t="shared" si="31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16">
        <f t="shared" si="28"/>
        <v>118</v>
      </c>
      <c r="P457" s="18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6">
        <f t="shared" si="30"/>
        <v>40809.208333333336</v>
      </c>
      <c r="T457" s="6">
        <f t="shared" si="31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16">
        <f t="shared" si="28"/>
        <v>104</v>
      </c>
      <c r="P458" s="1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6">
        <f t="shared" si="30"/>
        <v>43141.25</v>
      </c>
      <c r="T458" s="6">
        <f t="shared" si="31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16">
        <f t="shared" si="28"/>
        <v>27</v>
      </c>
      <c r="P459" s="18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6">
        <f t="shared" si="30"/>
        <v>42657.208333333328</v>
      </c>
      <c r="T459" s="6">
        <f t="shared" si="31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16">
        <f t="shared" si="28"/>
        <v>351</v>
      </c>
      <c r="P460" s="18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6">
        <f t="shared" si="30"/>
        <v>40265.208333333336</v>
      </c>
      <c r="T460" s="6">
        <f t="shared" si="31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16">
        <f t="shared" si="28"/>
        <v>90</v>
      </c>
      <c r="P461" s="18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6">
        <f t="shared" si="30"/>
        <v>42001.25</v>
      </c>
      <c r="T461" s="6">
        <f t="shared" si="31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16">
        <f t="shared" si="28"/>
        <v>172</v>
      </c>
      <c r="P462" s="18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30"/>
        <v>40399.208333333336</v>
      </c>
      <c r="T462" s="6">
        <f t="shared" si="31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16">
        <f t="shared" si="28"/>
        <v>141</v>
      </c>
      <c r="P463" s="18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6">
        <f t="shared" si="30"/>
        <v>41757.208333333336</v>
      </c>
      <c r="T463" s="6">
        <f t="shared" si="31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16">
        <f t="shared" si="28"/>
        <v>31</v>
      </c>
      <c r="P464" s="18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6">
        <f t="shared" si="30"/>
        <v>41304.25</v>
      </c>
      <c r="T464" s="6">
        <f t="shared" si="31"/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16">
        <f t="shared" si="28"/>
        <v>108</v>
      </c>
      <c r="P465" s="18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6">
        <f t="shared" si="30"/>
        <v>41639.25</v>
      </c>
      <c r="T465" s="6">
        <f t="shared" si="31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16">
        <f t="shared" si="28"/>
        <v>133</v>
      </c>
      <c r="P466" s="18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6">
        <f t="shared" si="30"/>
        <v>43142.25</v>
      </c>
      <c r="T466" s="6">
        <f t="shared" si="31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16">
        <f t="shared" si="28"/>
        <v>188</v>
      </c>
      <c r="P467" s="18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6">
        <f t="shared" si="30"/>
        <v>43127.25</v>
      </c>
      <c r="T467" s="6">
        <f t="shared" si="31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16">
        <f t="shared" si="28"/>
        <v>332</v>
      </c>
      <c r="P468" s="1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6">
        <f t="shared" si="30"/>
        <v>41409.208333333336</v>
      </c>
      <c r="T468" s="6">
        <f t="shared" si="31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16">
        <f t="shared" si="28"/>
        <v>575</v>
      </c>
      <c r="P469" s="18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6">
        <f t="shared" si="30"/>
        <v>42331.25</v>
      </c>
      <c r="T469" s="6">
        <f t="shared" si="31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16">
        <f t="shared" si="28"/>
        <v>41</v>
      </c>
      <c r="P470" s="18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30"/>
        <v>43569.208333333328</v>
      </c>
      <c r="T470" s="6">
        <f t="shared" si="31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16">
        <f t="shared" si="28"/>
        <v>184</v>
      </c>
      <c r="P471" s="18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6">
        <f t="shared" si="30"/>
        <v>42142.208333333328</v>
      </c>
      <c r="T471" s="6">
        <f t="shared" si="31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16">
        <f t="shared" si="28"/>
        <v>286</v>
      </c>
      <c r="P472" s="18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6">
        <f t="shared" si="30"/>
        <v>42716.25</v>
      </c>
      <c r="T472" s="6">
        <f t="shared" si="31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16">
        <f t="shared" si="28"/>
        <v>319</v>
      </c>
      <c r="P473" s="18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6">
        <f t="shared" si="30"/>
        <v>41031.208333333336</v>
      </c>
      <c r="T473" s="6">
        <f t="shared" si="31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16">
        <f t="shared" si="28"/>
        <v>39</v>
      </c>
      <c r="P474" s="18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6">
        <f t="shared" si="30"/>
        <v>43535.208333333328</v>
      </c>
      <c r="T474" s="6">
        <f t="shared" si="31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16">
        <f t="shared" si="28"/>
        <v>178</v>
      </c>
      <c r="P475" s="18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6">
        <f t="shared" si="30"/>
        <v>43277.208333333328</v>
      </c>
      <c r="T475" s="6">
        <f t="shared" si="31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16">
        <f t="shared" si="28"/>
        <v>365</v>
      </c>
      <c r="P476" s="18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6">
        <f t="shared" si="30"/>
        <v>41989.25</v>
      </c>
      <c r="T476" s="6">
        <f t="shared" si="31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6">
        <f t="shared" si="28"/>
        <v>114</v>
      </c>
      <c r="P477" s="18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6">
        <f t="shared" si="30"/>
        <v>41450.208333333336</v>
      </c>
      <c r="T477" s="6">
        <f t="shared" si="31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16">
        <f t="shared" si="28"/>
        <v>30</v>
      </c>
      <c r="P478" s="1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6">
        <f t="shared" si="30"/>
        <v>43322.208333333328</v>
      </c>
      <c r="T478" s="6">
        <f t="shared" si="31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16">
        <f t="shared" si="28"/>
        <v>54</v>
      </c>
      <c r="P479" s="18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30"/>
        <v>40720.208333333336</v>
      </c>
      <c r="T479" s="6">
        <f t="shared" si="31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16">
        <f t="shared" si="28"/>
        <v>236</v>
      </c>
      <c r="P480" s="18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6">
        <f t="shared" si="30"/>
        <v>42072.208333333328</v>
      </c>
      <c r="T480" s="6">
        <f t="shared" si="31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16">
        <f t="shared" si="28"/>
        <v>513</v>
      </c>
      <c r="P481" s="18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6">
        <f t="shared" si="30"/>
        <v>42945.208333333328</v>
      </c>
      <c r="T481" s="6">
        <f t="shared" si="31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16">
        <f t="shared" si="28"/>
        <v>101</v>
      </c>
      <c r="P482" s="18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6">
        <f t="shared" si="30"/>
        <v>40248.25</v>
      </c>
      <c r="T482" s="6">
        <f t="shared" si="31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16">
        <f t="shared" si="28"/>
        <v>81</v>
      </c>
      <c r="P483" s="18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6">
        <f t="shared" si="30"/>
        <v>41913.208333333336</v>
      </c>
      <c r="T483" s="6">
        <f t="shared" si="31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16">
        <f t="shared" si="28"/>
        <v>16</v>
      </c>
      <c r="P484" s="18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6">
        <f t="shared" si="30"/>
        <v>40963.25</v>
      </c>
      <c r="T484" s="6">
        <f t="shared" si="31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16">
        <f t="shared" si="28"/>
        <v>53</v>
      </c>
      <c r="P485" s="18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6">
        <f t="shared" si="30"/>
        <v>43811.25</v>
      </c>
      <c r="T485" s="6">
        <f t="shared" si="31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16">
        <f t="shared" si="28"/>
        <v>260</v>
      </c>
      <c r="P486" s="18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6">
        <f t="shared" si="30"/>
        <v>41855.208333333336</v>
      </c>
      <c r="T486" s="6">
        <f t="shared" si="31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16">
        <f t="shared" si="28"/>
        <v>31</v>
      </c>
      <c r="P487" s="18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6">
        <f t="shared" si="30"/>
        <v>43626.208333333328</v>
      </c>
      <c r="T487" s="6">
        <f t="shared" si="31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16">
        <f t="shared" si="28"/>
        <v>14</v>
      </c>
      <c r="P488" s="1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6">
        <f t="shared" si="30"/>
        <v>43168.25</v>
      </c>
      <c r="T488" s="6">
        <f t="shared" si="31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16">
        <f t="shared" si="28"/>
        <v>179</v>
      </c>
      <c r="P489" s="18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6">
        <f t="shared" si="30"/>
        <v>42845.208333333328</v>
      </c>
      <c r="T489" s="6">
        <f t="shared" si="31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16">
        <f t="shared" si="28"/>
        <v>220</v>
      </c>
      <c r="P490" s="18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6">
        <f t="shared" si="30"/>
        <v>42403.25</v>
      </c>
      <c r="T490" s="6">
        <f t="shared" si="31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16">
        <f t="shared" si="28"/>
        <v>102</v>
      </c>
      <c r="P491" s="18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6">
        <f t="shared" si="30"/>
        <v>40406.208333333336</v>
      </c>
      <c r="T491" s="6">
        <f t="shared" si="31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16">
        <f t="shared" si="28"/>
        <v>192</v>
      </c>
      <c r="P492" s="18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6">
        <f t="shared" si="30"/>
        <v>43786.25</v>
      </c>
      <c r="T492" s="6">
        <f t="shared" si="31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16">
        <f t="shared" si="28"/>
        <v>305</v>
      </c>
      <c r="P493" s="18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6">
        <f t="shared" si="30"/>
        <v>41456.208333333336</v>
      </c>
      <c r="T493" s="6">
        <f t="shared" si="31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6">
        <f t="shared" si="28"/>
        <v>24</v>
      </c>
      <c r="P494" s="18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6">
        <f t="shared" si="30"/>
        <v>40336.208333333336</v>
      </c>
      <c r="T494" s="6">
        <f t="shared" si="31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16">
        <f t="shared" si="28"/>
        <v>724</v>
      </c>
      <c r="P495" s="18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6">
        <f t="shared" si="30"/>
        <v>43645.208333333328</v>
      </c>
      <c r="T495" s="6">
        <f t="shared" si="31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16">
        <f t="shared" si="28"/>
        <v>547</v>
      </c>
      <c r="P496" s="18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6">
        <f t="shared" si="30"/>
        <v>40990.208333333336</v>
      </c>
      <c r="T496" s="6">
        <f t="shared" si="31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16">
        <f t="shared" si="28"/>
        <v>415</v>
      </c>
      <c r="P497" s="18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6">
        <f t="shared" si="30"/>
        <v>41800.208333333336</v>
      </c>
      <c r="T497" s="6">
        <f t="shared" si="31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16">
        <f t="shared" si="28"/>
        <v>1</v>
      </c>
      <c r="P498" s="1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6">
        <f t="shared" si="30"/>
        <v>42876.208333333328</v>
      </c>
      <c r="T498" s="6">
        <f t="shared" si="31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16">
        <f t="shared" si="28"/>
        <v>34</v>
      </c>
      <c r="P499" s="18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6">
        <f t="shared" si="30"/>
        <v>42724.25</v>
      </c>
      <c r="T499" s="6">
        <f t="shared" si="31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16">
        <f t="shared" si="28"/>
        <v>24</v>
      </c>
      <c r="P500" s="18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6">
        <f t="shared" si="30"/>
        <v>42005.25</v>
      </c>
      <c r="T500" s="6">
        <f t="shared" si="31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16">
        <f t="shared" si="28"/>
        <v>48</v>
      </c>
      <c r="P501" s="18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6">
        <f t="shared" si="30"/>
        <v>42444.208333333328</v>
      </c>
      <c r="T501" s="6">
        <f t="shared" si="31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16">
        <f t="shared" si="28"/>
        <v>0</v>
      </c>
      <c r="P502" s="18">
        <f t="shared" si="29"/>
        <v>0</v>
      </c>
      <c r="Q502" t="str" cm="1">
        <f t="array" ref="Q502:R502">_xlfn.TEXTSPLIT(N502,"/")</f>
        <v>theater</v>
      </c>
      <c r="R502" t="str">
        <v>plays</v>
      </c>
      <c r="S502" s="6">
        <f t="shared" si="30"/>
        <v>41395.208333333336</v>
      </c>
      <c r="T502" s="6">
        <f t="shared" si="31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16">
        <f t="shared" si="28"/>
        <v>70</v>
      </c>
      <c r="P503" s="18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6">
        <f t="shared" si="30"/>
        <v>41345.208333333336</v>
      </c>
      <c r="T503" s="6">
        <f t="shared" si="31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16">
        <f t="shared" si="28"/>
        <v>530</v>
      </c>
      <c r="P504" s="18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6">
        <f t="shared" si="30"/>
        <v>41117.208333333336</v>
      </c>
      <c r="T504" s="6">
        <f t="shared" si="31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16">
        <f t="shared" si="28"/>
        <v>180</v>
      </c>
      <c r="P505" s="18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6">
        <f t="shared" si="30"/>
        <v>42186.208333333328</v>
      </c>
      <c r="T505" s="6">
        <f t="shared" si="31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16">
        <f t="shared" si="28"/>
        <v>92</v>
      </c>
      <c r="P506" s="18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6">
        <f t="shared" si="30"/>
        <v>42142.208333333328</v>
      </c>
      <c r="T506" s="6">
        <f t="shared" si="31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16">
        <f t="shared" si="28"/>
        <v>14</v>
      </c>
      <c r="P507" s="18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0"/>
        <v>41341.25</v>
      </c>
      <c r="T507" s="6">
        <f t="shared" si="31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16">
        <f t="shared" si="28"/>
        <v>927</v>
      </c>
      <c r="P508" s="18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6">
        <f t="shared" si="30"/>
        <v>43062.25</v>
      </c>
      <c r="T508" s="6">
        <f t="shared" si="31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16">
        <f t="shared" si="28"/>
        <v>40</v>
      </c>
      <c r="P509" s="18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6">
        <f t="shared" si="30"/>
        <v>41373.208333333336</v>
      </c>
      <c r="T509" s="6">
        <f t="shared" si="31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16">
        <f t="shared" si="28"/>
        <v>112</v>
      </c>
      <c r="P510" s="18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6">
        <f t="shared" si="30"/>
        <v>43310.208333333328</v>
      </c>
      <c r="T510" s="6">
        <f t="shared" si="31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16">
        <f t="shared" si="28"/>
        <v>71</v>
      </c>
      <c r="P511" s="18">
        <f t="shared" si="29"/>
        <v>95</v>
      </c>
      <c r="Q511" t="str" cm="1">
        <f t="array" ref="Q511:R511">_xlfn.TEXTSPLIT(N511,"/")</f>
        <v>theater</v>
      </c>
      <c r="R511" t="str">
        <v>plays</v>
      </c>
      <c r="S511" s="6">
        <f t="shared" si="30"/>
        <v>41034.208333333336</v>
      </c>
      <c r="T511" s="6">
        <f t="shared" si="31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16">
        <f t="shared" si="28"/>
        <v>119</v>
      </c>
      <c r="P512" s="18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6">
        <f t="shared" si="30"/>
        <v>43251.208333333328</v>
      </c>
      <c r="T512" s="6">
        <f t="shared" si="31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16">
        <f t="shared" si="28"/>
        <v>24</v>
      </c>
      <c r="P513" s="18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6">
        <f t="shared" si="30"/>
        <v>43671.208333333328</v>
      </c>
      <c r="T513" s="6">
        <f t="shared" si="31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16">
        <f t="shared" si="28"/>
        <v>139</v>
      </c>
      <c r="P514" s="18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6">
        <f t="shared" si="30"/>
        <v>41825.208333333336</v>
      </c>
      <c r="T514" s="6">
        <f t="shared" si="31"/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6">
        <f t="shared" ref="O515:O578" si="32">ROUND(E515/D515*100,0)</f>
        <v>39</v>
      </c>
      <c r="P515" s="18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6">
        <f t="shared" ref="S515:S578" si="34">(((J515/60)/60)/24)+DATE(1970,1,1)</f>
        <v>40430.208333333336</v>
      </c>
      <c r="T515" s="6">
        <f t="shared" ref="T515:T578" si="35">(((K515/60)/60)/24)+DATE(1970,1,1)</f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6">
        <f t="shared" si="32"/>
        <v>22</v>
      </c>
      <c r="P516" s="18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6">
        <f t="shared" si="34"/>
        <v>41614.25</v>
      </c>
      <c r="T516" s="6">
        <f t="shared" si="35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16">
        <f t="shared" si="32"/>
        <v>56</v>
      </c>
      <c r="P517" s="18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6">
        <f t="shared" si="34"/>
        <v>40900.25</v>
      </c>
      <c r="T517" s="6">
        <f t="shared" si="35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16">
        <f t="shared" si="32"/>
        <v>43</v>
      </c>
      <c r="P518" s="1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6">
        <f t="shared" si="34"/>
        <v>40396.208333333336</v>
      </c>
      <c r="T518" s="6">
        <f t="shared" si="35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16">
        <f t="shared" si="32"/>
        <v>112</v>
      </c>
      <c r="P519" s="18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6">
        <f t="shared" si="34"/>
        <v>42860.208333333328</v>
      </c>
      <c r="T519" s="6">
        <f t="shared" si="35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16">
        <f t="shared" si="32"/>
        <v>7</v>
      </c>
      <c r="P520" s="18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4"/>
        <v>43154.25</v>
      </c>
      <c r="T520" s="6">
        <f t="shared" si="35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16">
        <f t="shared" si="32"/>
        <v>102</v>
      </c>
      <c r="P521" s="18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6">
        <f t="shared" si="34"/>
        <v>42012.25</v>
      </c>
      <c r="T521" s="6">
        <f t="shared" si="35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16">
        <f t="shared" si="32"/>
        <v>426</v>
      </c>
      <c r="P522" s="18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6">
        <f t="shared" si="34"/>
        <v>43574.208333333328</v>
      </c>
      <c r="T522" s="6">
        <f t="shared" si="35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16">
        <f t="shared" si="32"/>
        <v>146</v>
      </c>
      <c r="P523" s="18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6">
        <f t="shared" si="34"/>
        <v>42605.208333333328</v>
      </c>
      <c r="T523" s="6">
        <f t="shared" si="35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16">
        <f t="shared" si="32"/>
        <v>32</v>
      </c>
      <c r="P524" s="18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6">
        <f t="shared" si="34"/>
        <v>41093.208333333336</v>
      </c>
      <c r="T524" s="6">
        <f t="shared" si="35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16">
        <f t="shared" si="32"/>
        <v>700</v>
      </c>
      <c r="P525" s="18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6">
        <f t="shared" si="34"/>
        <v>40241.25</v>
      </c>
      <c r="T525" s="6">
        <f t="shared" si="35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16">
        <f t="shared" si="32"/>
        <v>84</v>
      </c>
      <c r="P526" s="18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6">
        <f t="shared" si="34"/>
        <v>40294.208333333336</v>
      </c>
      <c r="T526" s="6">
        <f t="shared" si="35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16">
        <f t="shared" si="32"/>
        <v>84</v>
      </c>
      <c r="P527" s="18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6">
        <f t="shared" si="34"/>
        <v>40505.25</v>
      </c>
      <c r="T527" s="6">
        <f t="shared" si="35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16">
        <f t="shared" si="32"/>
        <v>156</v>
      </c>
      <c r="P528" s="18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6">
        <f t="shared" si="34"/>
        <v>42364.25</v>
      </c>
      <c r="T528" s="6">
        <f t="shared" si="35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16">
        <f t="shared" si="32"/>
        <v>100</v>
      </c>
      <c r="P529" s="18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4"/>
        <v>42405.25</v>
      </c>
      <c r="T529" s="6">
        <f t="shared" si="35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16">
        <f t="shared" si="32"/>
        <v>80</v>
      </c>
      <c r="P530" s="18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6">
        <f t="shared" si="34"/>
        <v>41601.25</v>
      </c>
      <c r="T530" s="6">
        <f t="shared" si="35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16">
        <f t="shared" si="32"/>
        <v>11</v>
      </c>
      <c r="P531" s="18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6">
        <f t="shared" si="34"/>
        <v>41769.208333333336</v>
      </c>
      <c r="T531" s="6">
        <f t="shared" si="35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16">
        <f t="shared" si="32"/>
        <v>92</v>
      </c>
      <c r="P532" s="18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6">
        <f t="shared" si="34"/>
        <v>40421.208333333336</v>
      </c>
      <c r="T532" s="6">
        <f t="shared" si="35"/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6">
        <f t="shared" si="32"/>
        <v>96</v>
      </c>
      <c r="P533" s="18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6">
        <f t="shared" si="34"/>
        <v>41589.25</v>
      </c>
      <c r="T533" s="6">
        <f t="shared" si="35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16">
        <f t="shared" si="32"/>
        <v>503</v>
      </c>
      <c r="P534" s="18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6">
        <f t="shared" si="34"/>
        <v>43125.25</v>
      </c>
      <c r="T534" s="6">
        <f t="shared" si="35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16">
        <f t="shared" si="32"/>
        <v>159</v>
      </c>
      <c r="P535" s="18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6">
        <f t="shared" si="34"/>
        <v>41479.208333333336</v>
      </c>
      <c r="T535" s="6">
        <f t="shared" si="35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16">
        <f t="shared" si="32"/>
        <v>15</v>
      </c>
      <c r="P536" s="18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6">
        <f t="shared" si="34"/>
        <v>43329.208333333328</v>
      </c>
      <c r="T536" s="6">
        <f t="shared" si="35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16">
        <f t="shared" si="32"/>
        <v>482</v>
      </c>
      <c r="P537" s="18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6">
        <f t="shared" si="34"/>
        <v>43259.208333333328</v>
      </c>
      <c r="T537" s="6">
        <f t="shared" si="35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16">
        <f t="shared" si="32"/>
        <v>150</v>
      </c>
      <c r="P538" s="1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6">
        <f t="shared" si="34"/>
        <v>40414.208333333336</v>
      </c>
      <c r="T538" s="6">
        <f t="shared" si="35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16">
        <f t="shared" si="32"/>
        <v>117</v>
      </c>
      <c r="P539" s="18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6">
        <f t="shared" si="34"/>
        <v>43342.208333333328</v>
      </c>
      <c r="T539" s="6">
        <f t="shared" si="35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16">
        <f t="shared" si="32"/>
        <v>38</v>
      </c>
      <c r="P540" s="18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6">
        <f t="shared" si="34"/>
        <v>41539.208333333336</v>
      </c>
      <c r="T540" s="6">
        <f t="shared" si="35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16">
        <f t="shared" si="32"/>
        <v>73</v>
      </c>
      <c r="P541" s="18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6">
        <f t="shared" si="34"/>
        <v>43647.208333333328</v>
      </c>
      <c r="T541" s="6">
        <f t="shared" si="35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16">
        <f t="shared" si="32"/>
        <v>266</v>
      </c>
      <c r="P542" s="18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6">
        <f t="shared" si="34"/>
        <v>43225.208333333328</v>
      </c>
      <c r="T542" s="6">
        <f t="shared" si="35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16">
        <f t="shared" si="32"/>
        <v>24</v>
      </c>
      <c r="P543" s="18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6">
        <f t="shared" si="34"/>
        <v>42165.208333333328</v>
      </c>
      <c r="T543" s="6">
        <f t="shared" si="35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16">
        <f t="shared" si="32"/>
        <v>3</v>
      </c>
      <c r="P544" s="18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6">
        <f t="shared" si="34"/>
        <v>42391.25</v>
      </c>
      <c r="T544" s="6">
        <f t="shared" si="35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16">
        <f t="shared" si="32"/>
        <v>16</v>
      </c>
      <c r="P545" s="18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6">
        <f t="shared" si="34"/>
        <v>41528.208333333336</v>
      </c>
      <c r="T545" s="6">
        <f t="shared" si="35"/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16">
        <f t="shared" si="32"/>
        <v>277</v>
      </c>
      <c r="P546" s="18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6">
        <f t="shared" si="34"/>
        <v>42377.25</v>
      </c>
      <c r="T546" s="6">
        <f t="shared" si="35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16">
        <f t="shared" si="32"/>
        <v>89</v>
      </c>
      <c r="P547" s="18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6">
        <f t="shared" si="34"/>
        <v>43824.25</v>
      </c>
      <c r="T547" s="6">
        <f t="shared" si="35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16">
        <f t="shared" si="32"/>
        <v>164</v>
      </c>
      <c r="P548" s="18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6">
        <f t="shared" si="34"/>
        <v>43360.208333333328</v>
      </c>
      <c r="T548" s="6">
        <f t="shared" si="35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16">
        <f t="shared" si="32"/>
        <v>969</v>
      </c>
      <c r="P549" s="18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4"/>
        <v>42029.25</v>
      </c>
      <c r="T549" s="6">
        <f t="shared" si="35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16">
        <f t="shared" si="32"/>
        <v>271</v>
      </c>
      <c r="P550" s="18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6">
        <f t="shared" si="34"/>
        <v>42461.208333333328</v>
      </c>
      <c r="T550" s="6">
        <f t="shared" si="35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16">
        <f t="shared" si="32"/>
        <v>284</v>
      </c>
      <c r="P551" s="18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6">
        <f t="shared" si="34"/>
        <v>41422.208333333336</v>
      </c>
      <c r="T551" s="6">
        <f t="shared" si="35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6">
        <f t="shared" si="32"/>
        <v>4</v>
      </c>
      <c r="P552" s="18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4"/>
        <v>40968.25</v>
      </c>
      <c r="T552" s="6">
        <f t="shared" si="35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16">
        <f t="shared" si="32"/>
        <v>59</v>
      </c>
      <c r="P553" s="18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6">
        <f t="shared" si="34"/>
        <v>41993.25</v>
      </c>
      <c r="T553" s="6">
        <f t="shared" si="35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16">
        <f t="shared" si="32"/>
        <v>99</v>
      </c>
      <c r="P554" s="18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6">
        <f t="shared" si="34"/>
        <v>42700.25</v>
      </c>
      <c r="T554" s="6">
        <f t="shared" si="35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16">
        <f t="shared" si="32"/>
        <v>44</v>
      </c>
      <c r="P555" s="18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6">
        <f t="shared" si="34"/>
        <v>40545.25</v>
      </c>
      <c r="T555" s="6">
        <f t="shared" si="35"/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16">
        <f t="shared" si="32"/>
        <v>152</v>
      </c>
      <c r="P556" s="18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6">
        <f t="shared" si="34"/>
        <v>42723.25</v>
      </c>
      <c r="T556" s="6">
        <f t="shared" si="35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16">
        <f t="shared" si="32"/>
        <v>224</v>
      </c>
      <c r="P557" s="18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6">
        <f t="shared" si="34"/>
        <v>41731.208333333336</v>
      </c>
      <c r="T557" s="6">
        <f t="shared" si="35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16">
        <f t="shared" si="32"/>
        <v>240</v>
      </c>
      <c r="P558" s="1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6">
        <f t="shared" si="34"/>
        <v>40792.208333333336</v>
      </c>
      <c r="T558" s="6">
        <f t="shared" si="35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16">
        <f t="shared" si="32"/>
        <v>199</v>
      </c>
      <c r="P559" s="18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4"/>
        <v>42279.208333333328</v>
      </c>
      <c r="T559" s="6">
        <f t="shared" si="35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16">
        <f t="shared" si="32"/>
        <v>137</v>
      </c>
      <c r="P560" s="18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6">
        <f t="shared" si="34"/>
        <v>42424.25</v>
      </c>
      <c r="T560" s="6">
        <f t="shared" si="35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16">
        <f t="shared" si="32"/>
        <v>101</v>
      </c>
      <c r="P561" s="18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6">
        <f t="shared" si="34"/>
        <v>42584.208333333328</v>
      </c>
      <c r="T561" s="6">
        <f t="shared" si="35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16">
        <f t="shared" si="32"/>
        <v>794</v>
      </c>
      <c r="P562" s="18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6">
        <f t="shared" si="34"/>
        <v>40865.25</v>
      </c>
      <c r="T562" s="6">
        <f t="shared" si="35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16">
        <f t="shared" si="32"/>
        <v>370</v>
      </c>
      <c r="P563" s="18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6">
        <f t="shared" si="34"/>
        <v>40833.208333333336</v>
      </c>
      <c r="T563" s="6">
        <f t="shared" si="35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16">
        <f t="shared" si="32"/>
        <v>13</v>
      </c>
      <c r="P564" s="18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6">
        <f t="shared" si="34"/>
        <v>43536.208333333328</v>
      </c>
      <c r="T564" s="6">
        <f t="shared" si="35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16">
        <f t="shared" si="32"/>
        <v>138</v>
      </c>
      <c r="P565" s="18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6">
        <f t="shared" si="34"/>
        <v>43417.25</v>
      </c>
      <c r="T565" s="6">
        <f t="shared" si="35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16">
        <f t="shared" si="32"/>
        <v>84</v>
      </c>
      <c r="P566" s="18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6">
        <f t="shared" si="34"/>
        <v>42078.208333333328</v>
      </c>
      <c r="T566" s="6">
        <f t="shared" si="35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16">
        <f t="shared" si="32"/>
        <v>205</v>
      </c>
      <c r="P567" s="18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6">
        <f t="shared" si="34"/>
        <v>40862.25</v>
      </c>
      <c r="T567" s="6">
        <f t="shared" si="35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16">
        <f t="shared" si="32"/>
        <v>44</v>
      </c>
      <c r="P568" s="1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6">
        <f t="shared" si="34"/>
        <v>42424.25</v>
      </c>
      <c r="T568" s="6">
        <f t="shared" si="35"/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16">
        <f t="shared" si="32"/>
        <v>219</v>
      </c>
      <c r="P569" s="18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6">
        <f t="shared" si="34"/>
        <v>41830.208333333336</v>
      </c>
      <c r="T569" s="6">
        <f t="shared" si="35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16">
        <f t="shared" si="32"/>
        <v>186</v>
      </c>
      <c r="P570" s="18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6">
        <f t="shared" si="34"/>
        <v>40374.208333333336</v>
      </c>
      <c r="T570" s="6">
        <f t="shared" si="35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16">
        <f t="shared" si="32"/>
        <v>237</v>
      </c>
      <c r="P571" s="18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6">
        <f t="shared" si="34"/>
        <v>40554.25</v>
      </c>
      <c r="T571" s="6">
        <f t="shared" si="35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16">
        <f t="shared" si="32"/>
        <v>306</v>
      </c>
      <c r="P572" s="18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6">
        <f t="shared" si="34"/>
        <v>41993.25</v>
      </c>
      <c r="T572" s="6">
        <f t="shared" si="35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16">
        <f t="shared" si="32"/>
        <v>94</v>
      </c>
      <c r="P573" s="18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6">
        <f t="shared" si="34"/>
        <v>42174.208333333328</v>
      </c>
      <c r="T573" s="6">
        <f t="shared" si="35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6">
        <f t="shared" si="32"/>
        <v>54</v>
      </c>
      <c r="P574" s="18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6">
        <f t="shared" si="34"/>
        <v>42275.208333333328</v>
      </c>
      <c r="T574" s="6">
        <f t="shared" si="35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16">
        <f t="shared" si="32"/>
        <v>112</v>
      </c>
      <c r="P575" s="18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6">
        <f t="shared" si="34"/>
        <v>41761.208333333336</v>
      </c>
      <c r="T575" s="6">
        <f t="shared" si="35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16">
        <f t="shared" si="32"/>
        <v>369</v>
      </c>
      <c r="P576" s="18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6">
        <f t="shared" si="34"/>
        <v>43806.25</v>
      </c>
      <c r="T576" s="6">
        <f t="shared" si="35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16">
        <f t="shared" si="32"/>
        <v>63</v>
      </c>
      <c r="P577" s="18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6">
        <f t="shared" si="34"/>
        <v>41779.208333333336</v>
      </c>
      <c r="T577" s="6">
        <f t="shared" si="35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16">
        <f t="shared" si="32"/>
        <v>65</v>
      </c>
      <c r="P578" s="18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6">
        <f t="shared" si="34"/>
        <v>43040.208333333328</v>
      </c>
      <c r="T578" s="6">
        <f t="shared" si="35"/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6">
        <f t="shared" ref="O579:O642" si="36">ROUND(E579/D579*100,0)</f>
        <v>19</v>
      </c>
      <c r="P579" s="18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6">
        <f t="shared" ref="S579:S642" si="38">(((J579/60)/60)/24)+DATE(1970,1,1)</f>
        <v>40613.25</v>
      </c>
      <c r="T579" s="6">
        <f t="shared" ref="T579:T642" si="39">(((K579/60)/60)/24)+DATE(1970,1,1)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16">
        <f t="shared" si="36"/>
        <v>17</v>
      </c>
      <c r="P580" s="18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8"/>
        <v>40878.25</v>
      </c>
      <c r="T580" s="6">
        <f t="shared" si="39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16">
        <f t="shared" si="36"/>
        <v>101</v>
      </c>
      <c r="P581" s="18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6">
        <f t="shared" si="38"/>
        <v>40762.208333333336</v>
      </c>
      <c r="T581" s="6">
        <f t="shared" si="39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16">
        <f t="shared" si="36"/>
        <v>342</v>
      </c>
      <c r="P582" s="18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6">
        <f t="shared" si="38"/>
        <v>41696.25</v>
      </c>
      <c r="T582" s="6">
        <f t="shared" si="39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16">
        <f t="shared" si="36"/>
        <v>64</v>
      </c>
      <c r="P583" s="18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6">
        <f t="shared" si="38"/>
        <v>40662.208333333336</v>
      </c>
      <c r="T583" s="6">
        <f t="shared" si="39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16">
        <f t="shared" si="36"/>
        <v>52</v>
      </c>
      <c r="P584" s="18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6">
        <f t="shared" si="38"/>
        <v>42165.208333333328</v>
      </c>
      <c r="T584" s="6">
        <f t="shared" si="39"/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16">
        <f t="shared" si="36"/>
        <v>322</v>
      </c>
      <c r="P585" s="18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6">
        <f t="shared" si="38"/>
        <v>40959.25</v>
      </c>
      <c r="T585" s="6">
        <f t="shared" si="39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16">
        <f t="shared" si="36"/>
        <v>120</v>
      </c>
      <c r="P586" s="18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6">
        <f t="shared" si="38"/>
        <v>41024.208333333336</v>
      </c>
      <c r="T586" s="6">
        <f t="shared" si="39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16">
        <f t="shared" si="36"/>
        <v>147</v>
      </c>
      <c r="P587" s="18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6">
        <f t="shared" si="38"/>
        <v>40255.208333333336</v>
      </c>
      <c r="T587" s="6">
        <f t="shared" si="39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16">
        <f t="shared" si="36"/>
        <v>951</v>
      </c>
      <c r="P588" s="1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6">
        <f t="shared" si="38"/>
        <v>40499.25</v>
      </c>
      <c r="T588" s="6">
        <f t="shared" si="39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16">
        <f t="shared" si="36"/>
        <v>73</v>
      </c>
      <c r="P589" s="18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6">
        <f t="shared" si="38"/>
        <v>43484.25</v>
      </c>
      <c r="T589" s="6">
        <f t="shared" si="39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16">
        <f t="shared" si="36"/>
        <v>79</v>
      </c>
      <c r="P590" s="18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6">
        <f t="shared" si="38"/>
        <v>40262.208333333336</v>
      </c>
      <c r="T590" s="6">
        <f t="shared" si="39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16">
        <f t="shared" si="36"/>
        <v>65</v>
      </c>
      <c r="P591" s="18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6">
        <f t="shared" si="38"/>
        <v>42190.208333333328</v>
      </c>
      <c r="T591" s="6">
        <f t="shared" si="39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16">
        <f t="shared" si="36"/>
        <v>82</v>
      </c>
      <c r="P592" s="18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8"/>
        <v>41994.25</v>
      </c>
      <c r="T592" s="6">
        <f t="shared" si="39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16">
        <f t="shared" si="36"/>
        <v>1038</v>
      </c>
      <c r="P593" s="18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6">
        <f t="shared" si="38"/>
        <v>40373.208333333336</v>
      </c>
      <c r="T593" s="6">
        <f t="shared" si="39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16">
        <f t="shared" si="36"/>
        <v>13</v>
      </c>
      <c r="P594" s="18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6">
        <f t="shared" si="38"/>
        <v>41789.208333333336</v>
      </c>
      <c r="T594" s="6">
        <f t="shared" si="39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16">
        <f t="shared" si="36"/>
        <v>155</v>
      </c>
      <c r="P595" s="18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6">
        <f t="shared" si="38"/>
        <v>41724.208333333336</v>
      </c>
      <c r="T595" s="6">
        <f t="shared" si="39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16">
        <f t="shared" si="36"/>
        <v>7</v>
      </c>
      <c r="P596" s="18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6">
        <f t="shared" si="38"/>
        <v>42548.208333333328</v>
      </c>
      <c r="T596" s="6">
        <f t="shared" si="39"/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16">
        <f t="shared" si="36"/>
        <v>209</v>
      </c>
      <c r="P597" s="18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6">
        <f t="shared" si="38"/>
        <v>40253.208333333336</v>
      </c>
      <c r="T597" s="6">
        <f t="shared" si="39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16">
        <f t="shared" si="36"/>
        <v>100</v>
      </c>
      <c r="P598" s="1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6">
        <f t="shared" si="38"/>
        <v>42434.25</v>
      </c>
      <c r="T598" s="6">
        <f t="shared" si="39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16">
        <f t="shared" si="36"/>
        <v>202</v>
      </c>
      <c r="P599" s="18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6">
        <f t="shared" si="38"/>
        <v>43786.25</v>
      </c>
      <c r="T599" s="6">
        <f t="shared" si="39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16">
        <f t="shared" si="36"/>
        <v>162</v>
      </c>
      <c r="P600" s="18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6">
        <f t="shared" si="38"/>
        <v>40344.208333333336</v>
      </c>
      <c r="T600" s="6">
        <f t="shared" si="39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16">
        <f t="shared" si="36"/>
        <v>4</v>
      </c>
      <c r="P601" s="18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6">
        <f t="shared" si="38"/>
        <v>42047.25</v>
      </c>
      <c r="T601" s="6">
        <f t="shared" si="39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16">
        <f t="shared" si="36"/>
        <v>5</v>
      </c>
      <c r="P602" s="18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8"/>
        <v>41485.208333333336</v>
      </c>
      <c r="T602" s="6">
        <f t="shared" si="39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16">
        <f t="shared" si="36"/>
        <v>207</v>
      </c>
      <c r="P603" s="18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6">
        <f t="shared" si="38"/>
        <v>41789.208333333336</v>
      </c>
      <c r="T603" s="6">
        <f t="shared" si="39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16">
        <f t="shared" si="36"/>
        <v>128</v>
      </c>
      <c r="P604" s="18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6">
        <f t="shared" si="38"/>
        <v>42160.208333333328</v>
      </c>
      <c r="T604" s="6">
        <f t="shared" si="39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16">
        <f t="shared" si="36"/>
        <v>120</v>
      </c>
      <c r="P605" s="18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6">
        <f t="shared" si="38"/>
        <v>43573.208333333328</v>
      </c>
      <c r="T605" s="6">
        <f t="shared" si="39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16">
        <f t="shared" si="36"/>
        <v>171</v>
      </c>
      <c r="P606" s="18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6">
        <f t="shared" si="38"/>
        <v>40565.25</v>
      </c>
      <c r="T606" s="6">
        <f t="shared" si="39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16">
        <f t="shared" si="36"/>
        <v>187</v>
      </c>
      <c r="P607" s="18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6">
        <f t="shared" si="38"/>
        <v>42280.208333333328</v>
      </c>
      <c r="T607" s="6">
        <f t="shared" si="39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16">
        <f t="shared" si="36"/>
        <v>188</v>
      </c>
      <c r="P608" s="1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6">
        <f t="shared" si="38"/>
        <v>42436.25</v>
      </c>
      <c r="T608" s="6">
        <f t="shared" si="39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16">
        <f t="shared" si="36"/>
        <v>131</v>
      </c>
      <c r="P609" s="18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6">
        <f t="shared" si="38"/>
        <v>41721.208333333336</v>
      </c>
      <c r="T609" s="6">
        <f t="shared" si="39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16">
        <f t="shared" si="36"/>
        <v>284</v>
      </c>
      <c r="P610" s="18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6">
        <f t="shared" si="38"/>
        <v>43530.25</v>
      </c>
      <c r="T610" s="6">
        <f t="shared" si="39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16">
        <f t="shared" si="36"/>
        <v>120</v>
      </c>
      <c r="P611" s="18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8"/>
        <v>43481.25</v>
      </c>
      <c r="T611" s="6">
        <f t="shared" si="39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16">
        <f t="shared" si="36"/>
        <v>419</v>
      </c>
      <c r="P612" s="18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6">
        <f t="shared" si="38"/>
        <v>41259.25</v>
      </c>
      <c r="T612" s="6">
        <f t="shared" si="39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6">
        <f t="shared" si="36"/>
        <v>14</v>
      </c>
      <c r="P613" s="18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6">
        <f t="shared" si="38"/>
        <v>41480.208333333336</v>
      </c>
      <c r="T613" s="6">
        <f t="shared" si="39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16">
        <f t="shared" si="36"/>
        <v>139</v>
      </c>
      <c r="P614" s="18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6">
        <f t="shared" si="38"/>
        <v>40474.208333333336</v>
      </c>
      <c r="T614" s="6">
        <f t="shared" si="39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16">
        <f t="shared" si="36"/>
        <v>174</v>
      </c>
      <c r="P615" s="18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6">
        <f t="shared" si="38"/>
        <v>42973.208333333328</v>
      </c>
      <c r="T615" s="6">
        <f t="shared" si="39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16">
        <f t="shared" si="36"/>
        <v>155</v>
      </c>
      <c r="P616" s="18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6">
        <f t="shared" si="38"/>
        <v>42746.25</v>
      </c>
      <c r="T616" s="6">
        <f t="shared" si="39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16">
        <f t="shared" si="36"/>
        <v>170</v>
      </c>
      <c r="P617" s="18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6">
        <f t="shared" si="38"/>
        <v>42489.208333333328</v>
      </c>
      <c r="T617" s="6">
        <f t="shared" si="39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16">
        <f t="shared" si="36"/>
        <v>190</v>
      </c>
      <c r="P618" s="1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6">
        <f t="shared" si="38"/>
        <v>41537.208333333336</v>
      </c>
      <c r="T618" s="6">
        <f t="shared" si="39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16">
        <f t="shared" si="36"/>
        <v>250</v>
      </c>
      <c r="P619" s="18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6">
        <f t="shared" si="38"/>
        <v>41794.208333333336</v>
      </c>
      <c r="T619" s="6">
        <f t="shared" si="39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16">
        <f t="shared" si="36"/>
        <v>49</v>
      </c>
      <c r="P620" s="18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6">
        <f t="shared" si="38"/>
        <v>41396.208333333336</v>
      </c>
      <c r="T620" s="6">
        <f t="shared" si="39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16">
        <f t="shared" si="36"/>
        <v>28</v>
      </c>
      <c r="P621" s="18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6">
        <f t="shared" si="38"/>
        <v>40669.208333333336</v>
      </c>
      <c r="T621" s="6">
        <f t="shared" si="39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16">
        <f t="shared" si="36"/>
        <v>268</v>
      </c>
      <c r="P622" s="18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6">
        <f t="shared" si="38"/>
        <v>42559.208333333328</v>
      </c>
      <c r="T622" s="6">
        <f t="shared" si="39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16">
        <f t="shared" si="36"/>
        <v>620</v>
      </c>
      <c r="P623" s="18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6">
        <f t="shared" si="38"/>
        <v>42626.208333333328</v>
      </c>
      <c r="T623" s="6">
        <f t="shared" si="39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16">
        <f t="shared" si="36"/>
        <v>3</v>
      </c>
      <c r="P624" s="18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6">
        <f t="shared" si="38"/>
        <v>43205.208333333328</v>
      </c>
      <c r="T624" s="6">
        <f t="shared" si="39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16">
        <f t="shared" si="36"/>
        <v>160</v>
      </c>
      <c r="P625" s="18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6">
        <f t="shared" si="38"/>
        <v>42201.208333333328</v>
      </c>
      <c r="T625" s="6">
        <f t="shared" si="39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16">
        <f t="shared" si="36"/>
        <v>279</v>
      </c>
      <c r="P626" s="18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6">
        <f t="shared" si="38"/>
        <v>42029.25</v>
      </c>
      <c r="T626" s="6">
        <f t="shared" si="39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16">
        <f t="shared" si="36"/>
        <v>77</v>
      </c>
      <c r="P627" s="18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6">
        <f t="shared" si="38"/>
        <v>43857.25</v>
      </c>
      <c r="T627" s="6">
        <f t="shared" si="39"/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16">
        <f t="shared" si="36"/>
        <v>206</v>
      </c>
      <c r="P628" s="18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6">
        <f t="shared" si="38"/>
        <v>40449.208333333336</v>
      </c>
      <c r="T628" s="6">
        <f t="shared" si="39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16">
        <f t="shared" si="36"/>
        <v>694</v>
      </c>
      <c r="P629" s="18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6">
        <f t="shared" si="38"/>
        <v>40345.208333333336</v>
      </c>
      <c r="T629" s="6">
        <f t="shared" si="39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16">
        <f t="shared" si="36"/>
        <v>152</v>
      </c>
      <c r="P630" s="18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6">
        <f t="shared" si="38"/>
        <v>40455.208333333336</v>
      </c>
      <c r="T630" s="6">
        <f t="shared" si="39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16">
        <f t="shared" si="36"/>
        <v>65</v>
      </c>
      <c r="P631" s="18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6">
        <f t="shared" si="38"/>
        <v>42557.208333333328</v>
      </c>
      <c r="T631" s="6">
        <f t="shared" si="39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6">
        <f t="shared" si="36"/>
        <v>63</v>
      </c>
      <c r="P632" s="18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6">
        <f t="shared" si="38"/>
        <v>43586.208333333328</v>
      </c>
      <c r="T632" s="6">
        <f t="shared" si="39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16">
        <f t="shared" si="36"/>
        <v>310</v>
      </c>
      <c r="P633" s="18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6">
        <f t="shared" si="38"/>
        <v>43550.208333333328</v>
      </c>
      <c r="T633" s="6">
        <f t="shared" si="39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6">
        <f t="shared" si="36"/>
        <v>43</v>
      </c>
      <c r="P634" s="18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6">
        <f t="shared" si="38"/>
        <v>41945.208333333336</v>
      </c>
      <c r="T634" s="6">
        <f t="shared" si="39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16">
        <f t="shared" si="36"/>
        <v>83</v>
      </c>
      <c r="P635" s="18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6">
        <f t="shared" si="38"/>
        <v>42315.25</v>
      </c>
      <c r="T635" s="6">
        <f t="shared" si="39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6">
        <f t="shared" si="36"/>
        <v>79</v>
      </c>
      <c r="P636" s="18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6">
        <f t="shared" si="38"/>
        <v>42819.208333333328</v>
      </c>
      <c r="T636" s="6">
        <f t="shared" si="39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16">
        <f t="shared" si="36"/>
        <v>114</v>
      </c>
      <c r="P637" s="18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6">
        <f t="shared" si="38"/>
        <v>41314.25</v>
      </c>
      <c r="T637" s="6">
        <f t="shared" si="39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16">
        <f t="shared" si="36"/>
        <v>65</v>
      </c>
      <c r="P638" s="1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6">
        <f t="shared" si="38"/>
        <v>40926.25</v>
      </c>
      <c r="T638" s="6">
        <f t="shared" si="39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6">
        <f t="shared" si="36"/>
        <v>79</v>
      </c>
      <c r="P639" s="18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6">
        <f t="shared" si="38"/>
        <v>42688.25</v>
      </c>
      <c r="T639" s="6">
        <f t="shared" si="39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16">
        <f t="shared" si="36"/>
        <v>11</v>
      </c>
      <c r="P640" s="18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6">
        <f t="shared" si="38"/>
        <v>40386.208333333336</v>
      </c>
      <c r="T640" s="6">
        <f t="shared" si="39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6">
        <f t="shared" si="36"/>
        <v>56</v>
      </c>
      <c r="P641" s="18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6">
        <f t="shared" si="38"/>
        <v>43309.208333333328</v>
      </c>
      <c r="T641" s="6">
        <f t="shared" si="39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16">
        <f t="shared" si="36"/>
        <v>17</v>
      </c>
      <c r="P642" s="18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6">
        <f t="shared" si="38"/>
        <v>42387.25</v>
      </c>
      <c r="T642" s="6">
        <f t="shared" si="39"/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16">
        <f t="shared" ref="O643:O706" si="40">ROUND(E643/D643*100,0)</f>
        <v>120</v>
      </c>
      <c r="P643" s="18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6">
        <f t="shared" ref="S643:S706" si="42">(((J643/60)/60)/24)+DATE(1970,1,1)</f>
        <v>42786.25</v>
      </c>
      <c r="T643" s="6">
        <f t="shared" ref="T643:T706" si="43">(((K643/60)/60)/24)+DATE(1970,1,1)</f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16">
        <f t="shared" si="40"/>
        <v>145</v>
      </c>
      <c r="P644" s="18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6">
        <f t="shared" si="42"/>
        <v>43451.25</v>
      </c>
      <c r="T644" s="6">
        <f t="shared" si="43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16">
        <f t="shared" si="40"/>
        <v>221</v>
      </c>
      <c r="P645" s="18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6">
        <f t="shared" si="42"/>
        <v>42795.25</v>
      </c>
      <c r="T645" s="6">
        <f t="shared" si="43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16">
        <f t="shared" si="40"/>
        <v>48</v>
      </c>
      <c r="P646" s="18">
        <f t="shared" si="41"/>
        <v>28</v>
      </c>
      <c r="Q646" t="str" cm="1">
        <f t="array" ref="Q646:R646">_xlfn.TEXTSPLIT(N646,"/")</f>
        <v>theater</v>
      </c>
      <c r="R646" t="str">
        <v>plays</v>
      </c>
      <c r="S646" s="6">
        <f t="shared" si="42"/>
        <v>43452.25</v>
      </c>
      <c r="T646" s="6">
        <f t="shared" si="43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16">
        <f t="shared" si="40"/>
        <v>93</v>
      </c>
      <c r="P647" s="18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6">
        <f t="shared" si="42"/>
        <v>43369.208333333328</v>
      </c>
      <c r="T647" s="6">
        <f t="shared" si="43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16">
        <f t="shared" si="40"/>
        <v>89</v>
      </c>
      <c r="P648" s="1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6">
        <f t="shared" si="42"/>
        <v>41346.208333333336</v>
      </c>
      <c r="T648" s="6">
        <f t="shared" si="43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16">
        <f t="shared" si="40"/>
        <v>41</v>
      </c>
      <c r="P649" s="18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2"/>
        <v>43199.208333333328</v>
      </c>
      <c r="T649" s="6">
        <f t="shared" si="43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6">
        <f t="shared" si="40"/>
        <v>63</v>
      </c>
      <c r="P650" s="18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6">
        <f t="shared" si="42"/>
        <v>42922.208333333328</v>
      </c>
      <c r="T650" s="6">
        <f t="shared" si="43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16">
        <f t="shared" si="40"/>
        <v>48</v>
      </c>
      <c r="P651" s="18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6">
        <f t="shared" si="42"/>
        <v>40471.208333333336</v>
      </c>
      <c r="T651" s="6">
        <f t="shared" si="43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16">
        <f t="shared" si="40"/>
        <v>2</v>
      </c>
      <c r="P652" s="18">
        <f t="shared" si="41"/>
        <v>2</v>
      </c>
      <c r="Q652" t="str" cm="1">
        <f t="array" ref="Q652:R652">_xlfn.TEXTSPLIT(N652,"/")</f>
        <v>music</v>
      </c>
      <c r="R652" t="str">
        <v>jazz</v>
      </c>
      <c r="S652" s="6">
        <f t="shared" si="42"/>
        <v>41828.208333333336</v>
      </c>
      <c r="T652" s="6">
        <f t="shared" si="43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16">
        <f t="shared" si="40"/>
        <v>88</v>
      </c>
      <c r="P653" s="18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6">
        <f t="shared" si="42"/>
        <v>41692.25</v>
      </c>
      <c r="T653" s="6">
        <f t="shared" si="43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16">
        <f t="shared" si="40"/>
        <v>127</v>
      </c>
      <c r="P654" s="18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6">
        <f t="shared" si="42"/>
        <v>42587.208333333328</v>
      </c>
      <c r="T654" s="6">
        <f t="shared" si="43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16">
        <f t="shared" si="40"/>
        <v>2339</v>
      </c>
      <c r="P655" s="18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6">
        <f t="shared" si="42"/>
        <v>42468.208333333328</v>
      </c>
      <c r="T655" s="6">
        <f t="shared" si="43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16">
        <f t="shared" si="40"/>
        <v>508</v>
      </c>
      <c r="P656" s="18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6">
        <f t="shared" si="42"/>
        <v>42240.208333333328</v>
      </c>
      <c r="T656" s="6">
        <f t="shared" si="43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16">
        <f t="shared" si="40"/>
        <v>191</v>
      </c>
      <c r="P657" s="18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6">
        <f t="shared" si="42"/>
        <v>42796.25</v>
      </c>
      <c r="T657" s="6">
        <f t="shared" si="43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16">
        <f t="shared" si="40"/>
        <v>42</v>
      </c>
      <c r="P658" s="1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6">
        <f t="shared" si="42"/>
        <v>43097.25</v>
      </c>
      <c r="T658" s="6">
        <f t="shared" si="43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16">
        <f t="shared" si="40"/>
        <v>8</v>
      </c>
      <c r="P659" s="18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2"/>
        <v>43096.25</v>
      </c>
      <c r="T659" s="6">
        <f t="shared" si="43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6">
        <f t="shared" si="40"/>
        <v>60</v>
      </c>
      <c r="P660" s="18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6">
        <f t="shared" si="42"/>
        <v>42246.208333333328</v>
      </c>
      <c r="T660" s="6">
        <f t="shared" si="43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16">
        <f t="shared" si="40"/>
        <v>47</v>
      </c>
      <c r="P661" s="18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6">
        <f t="shared" si="42"/>
        <v>40570.25</v>
      </c>
      <c r="T661" s="6">
        <f t="shared" si="43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16">
        <f t="shared" si="40"/>
        <v>82</v>
      </c>
      <c r="P662" s="18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6">
        <f t="shared" si="42"/>
        <v>42237.208333333328</v>
      </c>
      <c r="T662" s="6">
        <f t="shared" si="43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16">
        <f t="shared" si="40"/>
        <v>54</v>
      </c>
      <c r="P663" s="18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6">
        <f t="shared" si="42"/>
        <v>40996.208333333336</v>
      </c>
      <c r="T663" s="6">
        <f t="shared" si="43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16">
        <f t="shared" si="40"/>
        <v>98</v>
      </c>
      <c r="P664" s="18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6">
        <f t="shared" si="42"/>
        <v>43443.25</v>
      </c>
      <c r="T664" s="6">
        <f t="shared" si="43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16">
        <f t="shared" si="40"/>
        <v>77</v>
      </c>
      <c r="P665" s="18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6">
        <f t="shared" si="42"/>
        <v>40458.208333333336</v>
      </c>
      <c r="T665" s="6">
        <f t="shared" si="43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16">
        <f t="shared" si="40"/>
        <v>33</v>
      </c>
      <c r="P666" s="18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6">
        <f t="shared" si="42"/>
        <v>40959.25</v>
      </c>
      <c r="T666" s="6">
        <f t="shared" si="43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16">
        <f t="shared" si="40"/>
        <v>240</v>
      </c>
      <c r="P667" s="18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6">
        <f t="shared" si="42"/>
        <v>40733.208333333336</v>
      </c>
      <c r="T667" s="6">
        <f t="shared" si="43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6">
        <f t="shared" si="40"/>
        <v>64</v>
      </c>
      <c r="P668" s="1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2"/>
        <v>41516.208333333336</v>
      </c>
      <c r="T668" s="6">
        <f t="shared" si="43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16">
        <f t="shared" si="40"/>
        <v>176</v>
      </c>
      <c r="P669" s="18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6">
        <f t="shared" si="42"/>
        <v>41892.208333333336</v>
      </c>
      <c r="T669" s="6">
        <f t="shared" si="43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16">
        <f t="shared" si="40"/>
        <v>20</v>
      </c>
      <c r="P670" s="18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6">
        <f t="shared" si="42"/>
        <v>41122.208333333336</v>
      </c>
      <c r="T670" s="6">
        <f t="shared" si="43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16">
        <f t="shared" si="40"/>
        <v>359</v>
      </c>
      <c r="P671" s="18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6">
        <f t="shared" si="42"/>
        <v>42912.208333333328</v>
      </c>
      <c r="T671" s="6">
        <f t="shared" si="43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16">
        <f t="shared" si="40"/>
        <v>469</v>
      </c>
      <c r="P672" s="18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6">
        <f t="shared" si="42"/>
        <v>42425.25</v>
      </c>
      <c r="T672" s="6">
        <f t="shared" si="43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16">
        <f t="shared" si="40"/>
        <v>122</v>
      </c>
      <c r="P673" s="18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6">
        <f t="shared" si="42"/>
        <v>40390.208333333336</v>
      </c>
      <c r="T673" s="6">
        <f t="shared" si="43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16">
        <f t="shared" si="40"/>
        <v>56</v>
      </c>
      <c r="P674" s="18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6">
        <f t="shared" si="42"/>
        <v>43180.208333333328</v>
      </c>
      <c r="T674" s="6">
        <f t="shared" si="43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16">
        <f t="shared" si="40"/>
        <v>44</v>
      </c>
      <c r="P675" s="18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6">
        <f t="shared" si="42"/>
        <v>42475.208333333328</v>
      </c>
      <c r="T675" s="6">
        <f t="shared" si="43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6">
        <f t="shared" si="40"/>
        <v>34</v>
      </c>
      <c r="P676" s="18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6">
        <f t="shared" si="42"/>
        <v>40774.208333333336</v>
      </c>
      <c r="T676" s="6">
        <f t="shared" si="43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16">
        <f t="shared" si="40"/>
        <v>123</v>
      </c>
      <c r="P677" s="18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6">
        <f t="shared" si="42"/>
        <v>43719.208333333328</v>
      </c>
      <c r="T677" s="6">
        <f t="shared" si="43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16">
        <f t="shared" si="40"/>
        <v>190</v>
      </c>
      <c r="P678" s="1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6">
        <f t="shared" si="42"/>
        <v>41178.208333333336</v>
      </c>
      <c r="T678" s="6">
        <f t="shared" si="43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16">
        <f t="shared" si="40"/>
        <v>84</v>
      </c>
      <c r="P679" s="18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6">
        <f t="shared" si="42"/>
        <v>42561.208333333328</v>
      </c>
      <c r="T679" s="6">
        <f t="shared" si="43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6">
        <f t="shared" si="40"/>
        <v>18</v>
      </c>
      <c r="P680" s="18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6">
        <f t="shared" si="42"/>
        <v>43484.25</v>
      </c>
      <c r="T680" s="6">
        <f t="shared" si="43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16">
        <f t="shared" si="40"/>
        <v>1037</v>
      </c>
      <c r="P681" s="18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6">
        <f t="shared" si="42"/>
        <v>43756.208333333328</v>
      </c>
      <c r="T681" s="6">
        <f t="shared" si="43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16">
        <f t="shared" si="40"/>
        <v>97</v>
      </c>
      <c r="P682" s="18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6">
        <f t="shared" si="42"/>
        <v>43813.25</v>
      </c>
      <c r="T682" s="6">
        <f t="shared" si="43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16">
        <f t="shared" si="40"/>
        <v>86</v>
      </c>
      <c r="P683" s="18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6">
        <f t="shared" si="42"/>
        <v>40898.25</v>
      </c>
      <c r="T683" s="6">
        <f t="shared" si="43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16">
        <f t="shared" si="40"/>
        <v>150</v>
      </c>
      <c r="P684" s="18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6">
        <f t="shared" si="42"/>
        <v>41619.25</v>
      </c>
      <c r="T684" s="6">
        <f t="shared" si="43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16">
        <f t="shared" si="40"/>
        <v>358</v>
      </c>
      <c r="P685" s="18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6">
        <f t="shared" si="42"/>
        <v>43359.208333333328</v>
      </c>
      <c r="T685" s="6">
        <f t="shared" si="43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16">
        <f t="shared" si="40"/>
        <v>543</v>
      </c>
      <c r="P686" s="18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6">
        <f t="shared" si="42"/>
        <v>40358.208333333336</v>
      </c>
      <c r="T686" s="6">
        <f t="shared" si="43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16">
        <f t="shared" si="40"/>
        <v>68</v>
      </c>
      <c r="P687" s="18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6">
        <f t="shared" si="42"/>
        <v>42239.208333333328</v>
      </c>
      <c r="T687" s="6">
        <f t="shared" si="43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16">
        <f t="shared" si="40"/>
        <v>192</v>
      </c>
      <c r="P688" s="1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6">
        <f t="shared" si="42"/>
        <v>43186.208333333328</v>
      </c>
      <c r="T688" s="6">
        <f t="shared" si="43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16">
        <f t="shared" si="40"/>
        <v>932</v>
      </c>
      <c r="P689" s="18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6">
        <f t="shared" si="42"/>
        <v>42806.25</v>
      </c>
      <c r="T689" s="6">
        <f t="shared" si="43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16">
        <f t="shared" si="40"/>
        <v>429</v>
      </c>
      <c r="P690" s="18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6">
        <f t="shared" si="42"/>
        <v>43475.25</v>
      </c>
      <c r="T690" s="6">
        <f t="shared" si="43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16">
        <f t="shared" si="40"/>
        <v>101</v>
      </c>
      <c r="P691" s="18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6">
        <f t="shared" si="42"/>
        <v>41576.208333333336</v>
      </c>
      <c r="T691" s="6">
        <f t="shared" si="43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16">
        <f t="shared" si="40"/>
        <v>227</v>
      </c>
      <c r="P692" s="18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6">
        <f t="shared" si="42"/>
        <v>40874.25</v>
      </c>
      <c r="T692" s="6">
        <f t="shared" si="43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16">
        <f t="shared" si="40"/>
        <v>142</v>
      </c>
      <c r="P693" s="18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6">
        <f t="shared" si="42"/>
        <v>41185.208333333336</v>
      </c>
      <c r="T693" s="6">
        <f t="shared" si="43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16">
        <f t="shared" si="40"/>
        <v>91</v>
      </c>
      <c r="P694" s="18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6">
        <f t="shared" si="42"/>
        <v>43655.208333333328</v>
      </c>
      <c r="T694" s="6">
        <f t="shared" si="43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16">
        <f t="shared" si="40"/>
        <v>64</v>
      </c>
      <c r="P695" s="18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6">
        <f t="shared" si="42"/>
        <v>43025.208333333328</v>
      </c>
      <c r="T695" s="6">
        <f t="shared" si="43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16">
        <f t="shared" si="40"/>
        <v>84</v>
      </c>
      <c r="P696" s="18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6">
        <f t="shared" si="42"/>
        <v>43066.25</v>
      </c>
      <c r="T696" s="6">
        <f t="shared" si="43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16">
        <f t="shared" si="40"/>
        <v>134</v>
      </c>
      <c r="P697" s="18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6">
        <f t="shared" si="42"/>
        <v>42322.25</v>
      </c>
      <c r="T697" s="6">
        <f t="shared" si="43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16">
        <f t="shared" si="40"/>
        <v>59</v>
      </c>
      <c r="P698" s="18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6">
        <f t="shared" si="42"/>
        <v>42114.208333333328</v>
      </c>
      <c r="T698" s="6">
        <f t="shared" si="43"/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16">
        <f t="shared" si="40"/>
        <v>153</v>
      </c>
      <c r="P699" s="18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6">
        <f t="shared" si="42"/>
        <v>43190.208333333328</v>
      </c>
      <c r="T699" s="6">
        <f t="shared" si="43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16">
        <f t="shared" si="40"/>
        <v>447</v>
      </c>
      <c r="P700" s="18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6">
        <f t="shared" si="42"/>
        <v>40871.25</v>
      </c>
      <c r="T700" s="6">
        <f t="shared" si="43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16">
        <f t="shared" si="40"/>
        <v>84</v>
      </c>
      <c r="P701" s="18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6">
        <f t="shared" si="42"/>
        <v>43641.208333333328</v>
      </c>
      <c r="T701" s="6">
        <f t="shared" si="43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16">
        <f t="shared" si="40"/>
        <v>3</v>
      </c>
      <c r="P702" s="18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2"/>
        <v>40203.25</v>
      </c>
      <c r="T702" s="6">
        <f t="shared" si="43"/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16">
        <f t="shared" si="40"/>
        <v>175</v>
      </c>
      <c r="P703" s="18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6">
        <f t="shared" si="42"/>
        <v>40629.208333333336</v>
      </c>
      <c r="T703" s="6">
        <f t="shared" si="43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16">
        <f t="shared" si="40"/>
        <v>54</v>
      </c>
      <c r="P704" s="18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6">
        <f t="shared" si="42"/>
        <v>41477.208333333336</v>
      </c>
      <c r="T704" s="6">
        <f t="shared" si="43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16">
        <f t="shared" si="40"/>
        <v>312</v>
      </c>
      <c r="P705" s="18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6">
        <f t="shared" si="42"/>
        <v>41020.208333333336</v>
      </c>
      <c r="T705" s="6">
        <f t="shared" si="43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16">
        <f t="shared" si="40"/>
        <v>123</v>
      </c>
      <c r="P706" s="18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6">
        <f t="shared" si="42"/>
        <v>42555.208333333328</v>
      </c>
      <c r="T706" s="6">
        <f t="shared" si="43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16">
        <f t="shared" ref="O707:O770" si="44">ROUND(E707/D707*100,0)</f>
        <v>99</v>
      </c>
      <c r="P707" s="18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6">
        <f t="shared" ref="S707:S770" si="46">(((J707/60)/60)/24)+DATE(1970,1,1)</f>
        <v>41619.25</v>
      </c>
      <c r="T707" s="6">
        <f t="shared" ref="T707:T770" si="47">(((K707/60)/60)/24)+DATE(1970,1,1)</f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16">
        <f t="shared" si="44"/>
        <v>128</v>
      </c>
      <c r="P708" s="1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6">
        <f t="shared" si="46"/>
        <v>43471.25</v>
      </c>
      <c r="T708" s="6">
        <f t="shared" si="47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16">
        <f t="shared" si="44"/>
        <v>159</v>
      </c>
      <c r="P709" s="18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6">
        <f t="shared" si="46"/>
        <v>43442.25</v>
      </c>
      <c r="T709" s="6">
        <f t="shared" si="47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16">
        <f t="shared" si="44"/>
        <v>707</v>
      </c>
      <c r="P710" s="18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6">
        <f t="shared" si="46"/>
        <v>42877.208333333328</v>
      </c>
      <c r="T710" s="6">
        <f t="shared" si="47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16">
        <f t="shared" si="44"/>
        <v>142</v>
      </c>
      <c r="P711" s="18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6">
        <f t="shared" si="46"/>
        <v>41018.208333333336</v>
      </c>
      <c r="T711" s="6">
        <f t="shared" si="47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16">
        <f t="shared" si="44"/>
        <v>148</v>
      </c>
      <c r="P712" s="18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6">
        <f t="shared" si="46"/>
        <v>43295.208333333328</v>
      </c>
      <c r="T712" s="6">
        <f t="shared" si="47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16">
        <f t="shared" si="44"/>
        <v>20</v>
      </c>
      <c r="P713" s="18">
        <f t="shared" si="45"/>
        <v>90</v>
      </c>
      <c r="Q713" t="str" cm="1">
        <f t="array" ref="Q713:R713">_xlfn.TEXTSPLIT(N713,"/")</f>
        <v>theater</v>
      </c>
      <c r="R713" t="str">
        <v>plays</v>
      </c>
      <c r="S713" s="6">
        <f t="shared" si="46"/>
        <v>42393.25</v>
      </c>
      <c r="T713" s="6">
        <f t="shared" si="47"/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16">
        <f t="shared" si="44"/>
        <v>1841</v>
      </c>
      <c r="P714" s="18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6">
        <f t="shared" si="46"/>
        <v>42559.208333333328</v>
      </c>
      <c r="T714" s="6">
        <f t="shared" si="47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16">
        <f t="shared" si="44"/>
        <v>162</v>
      </c>
      <c r="P715" s="18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6"/>
        <v>42604.208333333328</v>
      </c>
      <c r="T715" s="6">
        <f t="shared" si="47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16">
        <f t="shared" si="44"/>
        <v>473</v>
      </c>
      <c r="P716" s="18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6">
        <f t="shared" si="46"/>
        <v>41870.208333333336</v>
      </c>
      <c r="T716" s="6">
        <f t="shared" si="47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16">
        <f t="shared" si="44"/>
        <v>24</v>
      </c>
      <c r="P717" s="18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6">
        <f t="shared" si="46"/>
        <v>40397.208333333336</v>
      </c>
      <c r="T717" s="6">
        <f t="shared" si="47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16">
        <f t="shared" si="44"/>
        <v>518</v>
      </c>
      <c r="P718" s="18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6">
        <f t="shared" si="46"/>
        <v>41465.208333333336</v>
      </c>
      <c r="T718" s="6">
        <f t="shared" si="47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16">
        <f t="shared" si="44"/>
        <v>248</v>
      </c>
      <c r="P719" s="18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6">
        <f t="shared" si="46"/>
        <v>40777.208333333336</v>
      </c>
      <c r="T719" s="6">
        <f t="shared" si="47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16">
        <f t="shared" si="44"/>
        <v>100</v>
      </c>
      <c r="P720" s="18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6">
        <f t="shared" si="46"/>
        <v>41442.208333333336</v>
      </c>
      <c r="T720" s="6">
        <f t="shared" si="47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16">
        <f t="shared" si="44"/>
        <v>153</v>
      </c>
      <c r="P721" s="18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6">
        <f t="shared" si="46"/>
        <v>41058.208333333336</v>
      </c>
      <c r="T721" s="6">
        <f t="shared" si="47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6">
        <f t="shared" si="44"/>
        <v>37</v>
      </c>
      <c r="P722" s="18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6">
        <f t="shared" si="46"/>
        <v>43152.25</v>
      </c>
      <c r="T722" s="6">
        <f t="shared" si="47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6">
        <f t="shared" si="44"/>
        <v>4</v>
      </c>
      <c r="P723" s="18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6">
        <f t="shared" si="46"/>
        <v>43194.208333333328</v>
      </c>
      <c r="T723" s="6">
        <f t="shared" si="47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16">
        <f t="shared" si="44"/>
        <v>157</v>
      </c>
      <c r="P724" s="18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6">
        <f t="shared" si="46"/>
        <v>43045.25</v>
      </c>
      <c r="T724" s="6">
        <f t="shared" si="47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16">
        <f t="shared" si="44"/>
        <v>270</v>
      </c>
      <c r="P725" s="18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6">
        <f t="shared" si="46"/>
        <v>42431.25</v>
      </c>
      <c r="T725" s="6">
        <f t="shared" si="47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16">
        <f t="shared" si="44"/>
        <v>134</v>
      </c>
      <c r="P726" s="18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6">
        <f t="shared" si="46"/>
        <v>41934.208333333336</v>
      </c>
      <c r="T726" s="6">
        <f t="shared" si="47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16">
        <f t="shared" si="44"/>
        <v>50</v>
      </c>
      <c r="P727" s="18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6">
        <f t="shared" si="46"/>
        <v>41958.25</v>
      </c>
      <c r="T727" s="6">
        <f t="shared" si="47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6">
        <f t="shared" si="44"/>
        <v>89</v>
      </c>
      <c r="P728" s="18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6">
        <f t="shared" si="46"/>
        <v>40476.208333333336</v>
      </c>
      <c r="T728" s="6">
        <f t="shared" si="47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16">
        <f t="shared" si="44"/>
        <v>165</v>
      </c>
      <c r="P729" s="18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6">
        <f t="shared" si="46"/>
        <v>43485.25</v>
      </c>
      <c r="T729" s="6">
        <f t="shared" si="47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16">
        <f t="shared" si="44"/>
        <v>18</v>
      </c>
      <c r="P730" s="18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6"/>
        <v>42515.208333333328</v>
      </c>
      <c r="T730" s="6">
        <f t="shared" si="47"/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16">
        <f t="shared" si="44"/>
        <v>186</v>
      </c>
      <c r="P731" s="18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6">
        <f t="shared" si="46"/>
        <v>41309.25</v>
      </c>
      <c r="T731" s="6">
        <f t="shared" si="47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16">
        <f t="shared" si="44"/>
        <v>413</v>
      </c>
      <c r="P732" s="18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6">
        <f t="shared" si="46"/>
        <v>42147.208333333328</v>
      </c>
      <c r="T732" s="6">
        <f t="shared" si="47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6">
        <f t="shared" si="44"/>
        <v>90</v>
      </c>
      <c r="P733" s="18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6">
        <f t="shared" si="46"/>
        <v>42939.208333333328</v>
      </c>
      <c r="T733" s="6">
        <f t="shared" si="47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16">
        <f t="shared" si="44"/>
        <v>92</v>
      </c>
      <c r="P734" s="18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6">
        <f t="shared" si="46"/>
        <v>42816.208333333328</v>
      </c>
      <c r="T734" s="6">
        <f t="shared" si="47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16">
        <f t="shared" si="44"/>
        <v>527</v>
      </c>
      <c r="P735" s="18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6">
        <f t="shared" si="46"/>
        <v>41844.208333333336</v>
      </c>
      <c r="T735" s="6">
        <f t="shared" si="47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16">
        <f t="shared" si="44"/>
        <v>319</v>
      </c>
      <c r="P736" s="18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6">
        <f t="shared" si="46"/>
        <v>42763.25</v>
      </c>
      <c r="T736" s="6">
        <f t="shared" si="47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16">
        <f t="shared" si="44"/>
        <v>354</v>
      </c>
      <c r="P737" s="18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6">
        <f t="shared" si="46"/>
        <v>42459.208333333328</v>
      </c>
      <c r="T737" s="6">
        <f t="shared" si="47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6">
        <f t="shared" si="44"/>
        <v>33</v>
      </c>
      <c r="P738" s="1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6">
        <f t="shared" si="46"/>
        <v>42055.25</v>
      </c>
      <c r="T738" s="6">
        <f t="shared" si="47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16">
        <f t="shared" si="44"/>
        <v>136</v>
      </c>
      <c r="P739" s="18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6">
        <f t="shared" si="46"/>
        <v>42685.25</v>
      </c>
      <c r="T739" s="6">
        <f t="shared" si="47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16">
        <f t="shared" si="44"/>
        <v>2</v>
      </c>
      <c r="P740" s="18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6"/>
        <v>41959.25</v>
      </c>
      <c r="T740" s="6">
        <f t="shared" si="47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16">
        <f t="shared" si="44"/>
        <v>61</v>
      </c>
      <c r="P741" s="18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6">
        <f t="shared" si="46"/>
        <v>41089.208333333336</v>
      </c>
      <c r="T741" s="6">
        <f t="shared" si="47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16">
        <f t="shared" si="44"/>
        <v>30</v>
      </c>
      <c r="P742" s="18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6"/>
        <v>42769.25</v>
      </c>
      <c r="T742" s="6">
        <f t="shared" si="47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16">
        <f t="shared" si="44"/>
        <v>1179</v>
      </c>
      <c r="P743" s="18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6">
        <f t="shared" si="46"/>
        <v>40321.208333333336</v>
      </c>
      <c r="T743" s="6">
        <f t="shared" si="47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16">
        <f t="shared" si="44"/>
        <v>1126</v>
      </c>
      <c r="P744" s="18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6">
        <f t="shared" si="46"/>
        <v>40197.25</v>
      </c>
      <c r="T744" s="6">
        <f t="shared" si="47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16">
        <f t="shared" si="44"/>
        <v>13</v>
      </c>
      <c r="P745" s="18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6">
        <f t="shared" si="46"/>
        <v>42298.208333333328</v>
      </c>
      <c r="T745" s="6">
        <f t="shared" si="47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16">
        <f t="shared" si="44"/>
        <v>712</v>
      </c>
      <c r="P746" s="18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6">
        <f t="shared" si="46"/>
        <v>43322.208333333328</v>
      </c>
      <c r="T746" s="6">
        <f t="shared" si="47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16">
        <f t="shared" si="44"/>
        <v>30</v>
      </c>
      <c r="P747" s="18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6"/>
        <v>40328.208333333336</v>
      </c>
      <c r="T747" s="6">
        <f t="shared" si="47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16">
        <f t="shared" si="44"/>
        <v>213</v>
      </c>
      <c r="P748" s="1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6"/>
        <v>40825.208333333336</v>
      </c>
      <c r="T748" s="6">
        <f t="shared" si="47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16">
        <f t="shared" si="44"/>
        <v>229</v>
      </c>
      <c r="P749" s="18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6"/>
        <v>40423.208333333336</v>
      </c>
      <c r="T749" s="6">
        <f t="shared" si="47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6">
        <f t="shared" si="44"/>
        <v>35</v>
      </c>
      <c r="P750" s="18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6">
        <f t="shared" si="46"/>
        <v>40238.25</v>
      </c>
      <c r="T750" s="6">
        <f t="shared" si="47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16">
        <f t="shared" si="44"/>
        <v>157</v>
      </c>
      <c r="P751" s="18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6">
        <f t="shared" si="46"/>
        <v>41920.208333333336</v>
      </c>
      <c r="T751" s="6">
        <f t="shared" si="47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16">
        <f t="shared" si="44"/>
        <v>1</v>
      </c>
      <c r="P752" s="18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6"/>
        <v>40360.208333333336</v>
      </c>
      <c r="T752" s="6">
        <f t="shared" si="47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16">
        <f t="shared" si="44"/>
        <v>232</v>
      </c>
      <c r="P753" s="18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6">
        <f t="shared" si="46"/>
        <v>42446.208333333328</v>
      </c>
      <c r="T753" s="6">
        <f t="shared" si="47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6">
        <f t="shared" si="44"/>
        <v>92</v>
      </c>
      <c r="P754" s="18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6">
        <f t="shared" si="46"/>
        <v>40395.208333333336</v>
      </c>
      <c r="T754" s="6">
        <f t="shared" si="47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16">
        <f t="shared" si="44"/>
        <v>257</v>
      </c>
      <c r="P755" s="18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6">
        <f t="shared" si="46"/>
        <v>40321.208333333336</v>
      </c>
      <c r="T755" s="6">
        <f t="shared" si="47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16">
        <f t="shared" si="44"/>
        <v>168</v>
      </c>
      <c r="P756" s="18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6">
        <f t="shared" si="46"/>
        <v>41210.208333333336</v>
      </c>
      <c r="T756" s="6">
        <f t="shared" si="47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16">
        <f t="shared" si="44"/>
        <v>167</v>
      </c>
      <c r="P757" s="18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6">
        <f t="shared" si="46"/>
        <v>43096.25</v>
      </c>
      <c r="T757" s="6">
        <f t="shared" si="47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16">
        <f t="shared" si="44"/>
        <v>772</v>
      </c>
      <c r="P758" s="18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6">
        <f t="shared" si="46"/>
        <v>42024.25</v>
      </c>
      <c r="T758" s="6">
        <f t="shared" si="47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16">
        <f t="shared" si="44"/>
        <v>407</v>
      </c>
      <c r="P759" s="18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6">
        <f t="shared" si="46"/>
        <v>40675.208333333336</v>
      </c>
      <c r="T759" s="6">
        <f t="shared" si="47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16">
        <f t="shared" si="44"/>
        <v>564</v>
      </c>
      <c r="P760" s="18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6">
        <f t="shared" si="46"/>
        <v>41936.208333333336</v>
      </c>
      <c r="T760" s="6">
        <f t="shared" si="47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16">
        <f t="shared" si="44"/>
        <v>68</v>
      </c>
      <c r="P761" s="18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6">
        <f t="shared" si="46"/>
        <v>43136.25</v>
      </c>
      <c r="T761" s="6">
        <f t="shared" si="47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16">
        <f t="shared" si="44"/>
        <v>34</v>
      </c>
      <c r="P762" s="18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6">
        <f t="shared" si="46"/>
        <v>43678.208333333328</v>
      </c>
      <c r="T762" s="6">
        <f t="shared" si="47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16">
        <f t="shared" si="44"/>
        <v>655</v>
      </c>
      <c r="P763" s="18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6">
        <f t="shared" si="46"/>
        <v>42938.208333333328</v>
      </c>
      <c r="T763" s="6">
        <f t="shared" si="47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16">
        <f t="shared" si="44"/>
        <v>177</v>
      </c>
      <c r="P764" s="18">
        <f t="shared" si="45"/>
        <v>62.04</v>
      </c>
      <c r="Q764" t="str" cm="1">
        <f t="array" ref="Q764:R764">_xlfn.TEXTSPLIT(N764,"/")</f>
        <v>music</v>
      </c>
      <c r="R764" t="str">
        <v>jazz</v>
      </c>
      <c r="S764" s="6">
        <f t="shared" si="46"/>
        <v>41241.25</v>
      </c>
      <c r="T764" s="6">
        <f t="shared" si="47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16">
        <f t="shared" si="44"/>
        <v>113</v>
      </c>
      <c r="P765" s="18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6">
        <f t="shared" si="46"/>
        <v>41037.208333333336</v>
      </c>
      <c r="T765" s="6">
        <f t="shared" si="47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16">
        <f t="shared" si="44"/>
        <v>728</v>
      </c>
      <c r="P766" s="18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6">
        <f t="shared" si="46"/>
        <v>40676.208333333336</v>
      </c>
      <c r="T766" s="6">
        <f t="shared" si="47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16">
        <f t="shared" si="44"/>
        <v>208</v>
      </c>
      <c r="P767" s="18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6">
        <f t="shared" si="46"/>
        <v>42840.208333333328</v>
      </c>
      <c r="T767" s="6">
        <f t="shared" si="47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16">
        <f t="shared" si="44"/>
        <v>31</v>
      </c>
      <c r="P768" s="1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6"/>
        <v>43362.208333333328</v>
      </c>
      <c r="T768" s="6">
        <f t="shared" si="47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16">
        <f t="shared" si="44"/>
        <v>57</v>
      </c>
      <c r="P769" s="18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6">
        <f t="shared" si="46"/>
        <v>42283.208333333328</v>
      </c>
      <c r="T769" s="6">
        <f t="shared" si="47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16">
        <f t="shared" si="44"/>
        <v>231</v>
      </c>
      <c r="P770" s="18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46"/>
        <v>41619.25</v>
      </c>
      <c r="T770" s="6">
        <f t="shared" si="47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16">
        <f t="shared" ref="O771:O834" si="48">ROUND(E771/D771*100,0)</f>
        <v>87</v>
      </c>
      <c r="P771" s="18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6">
        <f t="shared" ref="S771:S834" si="50">(((J771/60)/60)/24)+DATE(1970,1,1)</f>
        <v>41501.208333333336</v>
      </c>
      <c r="T771" s="6">
        <f t="shared" ref="T771:T834" si="51">(((K771/60)/60)/24)+DATE(1970,1,1)</f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16">
        <f t="shared" si="48"/>
        <v>271</v>
      </c>
      <c r="P772" s="18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6">
        <f t="shared" si="50"/>
        <v>41743.208333333336</v>
      </c>
      <c r="T772" s="6">
        <f t="shared" si="51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6">
        <f t="shared" si="48"/>
        <v>49</v>
      </c>
      <c r="P773" s="18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50"/>
        <v>43491.25</v>
      </c>
      <c r="T773" s="6">
        <f t="shared" si="51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16">
        <f t="shared" si="48"/>
        <v>113</v>
      </c>
      <c r="P774" s="18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6">
        <f t="shared" si="50"/>
        <v>43505.25</v>
      </c>
      <c r="T774" s="6">
        <f t="shared" si="51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16">
        <f t="shared" si="48"/>
        <v>191</v>
      </c>
      <c r="P775" s="18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6">
        <f t="shared" si="50"/>
        <v>42838.208333333328</v>
      </c>
      <c r="T775" s="6">
        <f t="shared" si="51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16">
        <f t="shared" si="48"/>
        <v>136</v>
      </c>
      <c r="P776" s="18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6">
        <f t="shared" si="50"/>
        <v>42513.208333333328</v>
      </c>
      <c r="T776" s="6">
        <f t="shared" si="51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16">
        <f t="shared" si="48"/>
        <v>10</v>
      </c>
      <c r="P777" s="18">
        <f t="shared" si="49"/>
        <v>96.8</v>
      </c>
      <c r="Q777" t="str" cm="1">
        <f t="array" ref="Q777:R777">_xlfn.TEXTSPLIT(N777,"/")</f>
        <v>music</v>
      </c>
      <c r="R777" t="str">
        <v>rock</v>
      </c>
      <c r="S777" s="6">
        <f t="shared" si="50"/>
        <v>41949.25</v>
      </c>
      <c r="T777" s="6">
        <f t="shared" si="51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16">
        <f t="shared" si="48"/>
        <v>66</v>
      </c>
      <c r="P778" s="18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6">
        <f t="shared" si="50"/>
        <v>43650.208333333328</v>
      </c>
      <c r="T778" s="6">
        <f t="shared" si="51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16">
        <f t="shared" si="48"/>
        <v>49</v>
      </c>
      <c r="P779" s="18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6">
        <f t="shared" si="50"/>
        <v>40809.208333333336</v>
      </c>
      <c r="T779" s="6">
        <f t="shared" si="51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16">
        <f t="shared" si="48"/>
        <v>788</v>
      </c>
      <c r="P780" s="18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6">
        <f t="shared" si="50"/>
        <v>40768.208333333336</v>
      </c>
      <c r="T780" s="6">
        <f t="shared" si="51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16">
        <f t="shared" si="48"/>
        <v>80</v>
      </c>
      <c r="P781" s="18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6">
        <f t="shared" si="50"/>
        <v>42230.208333333328</v>
      </c>
      <c r="T781" s="6">
        <f t="shared" si="51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16">
        <f t="shared" si="48"/>
        <v>106</v>
      </c>
      <c r="P782" s="18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6">
        <f t="shared" si="50"/>
        <v>42573.208333333328</v>
      </c>
      <c r="T782" s="6">
        <f t="shared" si="51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6">
        <f t="shared" si="48"/>
        <v>51</v>
      </c>
      <c r="P783" s="18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6">
        <f t="shared" si="50"/>
        <v>40482.208333333336</v>
      </c>
      <c r="T783" s="6">
        <f t="shared" si="51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16">
        <f t="shared" si="48"/>
        <v>215</v>
      </c>
      <c r="P784" s="18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6">
        <f t="shared" si="50"/>
        <v>40603.25</v>
      </c>
      <c r="T784" s="6">
        <f t="shared" si="51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16">
        <f t="shared" si="48"/>
        <v>141</v>
      </c>
      <c r="P785" s="18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6">
        <f t="shared" si="50"/>
        <v>41625.25</v>
      </c>
      <c r="T785" s="6">
        <f t="shared" si="51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16">
        <f t="shared" si="48"/>
        <v>115</v>
      </c>
      <c r="P786" s="18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6">
        <f t="shared" si="50"/>
        <v>42435.25</v>
      </c>
      <c r="T786" s="6">
        <f t="shared" si="51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16">
        <f t="shared" si="48"/>
        <v>193</v>
      </c>
      <c r="P787" s="18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6">
        <f t="shared" si="50"/>
        <v>43582.208333333328</v>
      </c>
      <c r="T787" s="6">
        <f t="shared" si="51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16">
        <f t="shared" si="48"/>
        <v>730</v>
      </c>
      <c r="P788" s="1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6">
        <f t="shared" si="50"/>
        <v>43186.208333333328</v>
      </c>
      <c r="T788" s="6">
        <f t="shared" si="51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16">
        <f t="shared" si="48"/>
        <v>100</v>
      </c>
      <c r="P789" s="18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6">
        <f t="shared" si="50"/>
        <v>40684.208333333336</v>
      </c>
      <c r="T789" s="6">
        <f t="shared" si="51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6">
        <f t="shared" si="48"/>
        <v>88</v>
      </c>
      <c r="P790" s="18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6">
        <f t="shared" si="50"/>
        <v>41202.208333333336</v>
      </c>
      <c r="T790" s="6">
        <f t="shared" si="51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16">
        <f t="shared" si="48"/>
        <v>37</v>
      </c>
      <c r="P791" s="18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6">
        <f t="shared" si="50"/>
        <v>41786.208333333336</v>
      </c>
      <c r="T791" s="6">
        <f t="shared" si="51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6">
        <f t="shared" si="48"/>
        <v>31</v>
      </c>
      <c r="P792" s="18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6">
        <f t="shared" si="50"/>
        <v>40223.25</v>
      </c>
      <c r="T792" s="6">
        <f t="shared" si="51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16">
        <f t="shared" si="48"/>
        <v>26</v>
      </c>
      <c r="P793" s="18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50"/>
        <v>42715.25</v>
      </c>
      <c r="T793" s="6">
        <f t="shared" si="51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16">
        <f t="shared" si="48"/>
        <v>34</v>
      </c>
      <c r="P794" s="18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6">
        <f t="shared" si="50"/>
        <v>41451.208333333336</v>
      </c>
      <c r="T794" s="6">
        <f t="shared" si="51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16">
        <f t="shared" si="48"/>
        <v>1186</v>
      </c>
      <c r="P795" s="18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6">
        <f t="shared" si="50"/>
        <v>41450.208333333336</v>
      </c>
      <c r="T795" s="6">
        <f t="shared" si="51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16">
        <f t="shared" si="48"/>
        <v>125</v>
      </c>
      <c r="P796" s="18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6">
        <f t="shared" si="50"/>
        <v>43091.25</v>
      </c>
      <c r="T796" s="6">
        <f t="shared" si="51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16">
        <f t="shared" si="48"/>
        <v>14</v>
      </c>
      <c r="P797" s="18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6">
        <f t="shared" si="50"/>
        <v>42675.208333333328</v>
      </c>
      <c r="T797" s="6">
        <f t="shared" si="51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16">
        <f t="shared" si="48"/>
        <v>55</v>
      </c>
      <c r="P798" s="1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6">
        <f t="shared" si="50"/>
        <v>41859.208333333336</v>
      </c>
      <c r="T798" s="6">
        <f t="shared" si="51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16">
        <f t="shared" si="48"/>
        <v>110</v>
      </c>
      <c r="P799" s="18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6">
        <f t="shared" si="50"/>
        <v>43464.25</v>
      </c>
      <c r="T799" s="6">
        <f t="shared" si="51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16">
        <f t="shared" si="48"/>
        <v>188</v>
      </c>
      <c r="P800" s="18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6">
        <f t="shared" si="50"/>
        <v>41060.208333333336</v>
      </c>
      <c r="T800" s="6">
        <f t="shared" si="51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16">
        <f t="shared" si="48"/>
        <v>87</v>
      </c>
      <c r="P801" s="18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6">
        <f t="shared" si="50"/>
        <v>42399.25</v>
      </c>
      <c r="T801" s="6">
        <f t="shared" si="51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16">
        <f t="shared" si="48"/>
        <v>1</v>
      </c>
      <c r="P802" s="18">
        <f t="shared" si="49"/>
        <v>1</v>
      </c>
      <c r="Q802" t="str" cm="1">
        <f t="array" ref="Q802:R802">_xlfn.TEXTSPLIT(N802,"/")</f>
        <v>music</v>
      </c>
      <c r="R802" t="str">
        <v>rock</v>
      </c>
      <c r="S802" s="6">
        <f t="shared" si="50"/>
        <v>42167.208333333328</v>
      </c>
      <c r="T802" s="6">
        <f t="shared" si="51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16">
        <f t="shared" si="48"/>
        <v>203</v>
      </c>
      <c r="P803" s="18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6">
        <f t="shared" si="50"/>
        <v>43830.25</v>
      </c>
      <c r="T803" s="6">
        <f t="shared" si="51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16">
        <f t="shared" si="48"/>
        <v>197</v>
      </c>
      <c r="P804" s="18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6">
        <f t="shared" si="50"/>
        <v>43650.208333333328</v>
      </c>
      <c r="T804" s="6">
        <f t="shared" si="51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16">
        <f t="shared" si="48"/>
        <v>107</v>
      </c>
      <c r="P805" s="18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6">
        <f t="shared" si="50"/>
        <v>43492.25</v>
      </c>
      <c r="T805" s="6">
        <f t="shared" si="51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16">
        <f t="shared" si="48"/>
        <v>269</v>
      </c>
      <c r="P806" s="18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6">
        <f t="shared" si="50"/>
        <v>43102.25</v>
      </c>
      <c r="T806" s="6">
        <f t="shared" si="51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16">
        <f t="shared" si="48"/>
        <v>51</v>
      </c>
      <c r="P807" s="18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6">
        <f t="shared" si="50"/>
        <v>41958.25</v>
      </c>
      <c r="T807" s="6">
        <f t="shared" si="51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16">
        <f t="shared" si="48"/>
        <v>1180</v>
      </c>
      <c r="P808" s="1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6">
        <f t="shared" si="50"/>
        <v>40973.25</v>
      </c>
      <c r="T808" s="6">
        <f t="shared" si="51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16">
        <f t="shared" si="48"/>
        <v>264</v>
      </c>
      <c r="P809" s="18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6">
        <f t="shared" si="50"/>
        <v>43753.208333333328</v>
      </c>
      <c r="T809" s="6">
        <f t="shared" si="51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16">
        <f t="shared" si="48"/>
        <v>30</v>
      </c>
      <c r="P810" s="18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6">
        <f t="shared" si="50"/>
        <v>42507.208333333328</v>
      </c>
      <c r="T810" s="6">
        <f t="shared" si="51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16">
        <f t="shared" si="48"/>
        <v>63</v>
      </c>
      <c r="P811" s="18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50"/>
        <v>41135.208333333336</v>
      </c>
      <c r="T811" s="6">
        <f t="shared" si="51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16">
        <f t="shared" si="48"/>
        <v>193</v>
      </c>
      <c r="P812" s="18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6">
        <f t="shared" si="50"/>
        <v>43067.25</v>
      </c>
      <c r="T812" s="6">
        <f t="shared" si="51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16">
        <f t="shared" si="48"/>
        <v>77</v>
      </c>
      <c r="P813" s="18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6">
        <f t="shared" si="50"/>
        <v>42378.25</v>
      </c>
      <c r="T813" s="6">
        <f t="shared" si="51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16">
        <f t="shared" si="48"/>
        <v>226</v>
      </c>
      <c r="P814" s="18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50"/>
        <v>43206.208333333328</v>
      </c>
      <c r="T814" s="6">
        <f t="shared" si="51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16">
        <f t="shared" si="48"/>
        <v>239</v>
      </c>
      <c r="P815" s="18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6">
        <f t="shared" si="50"/>
        <v>41148.208333333336</v>
      </c>
      <c r="T815" s="6">
        <f t="shared" si="51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16">
        <f t="shared" si="48"/>
        <v>92</v>
      </c>
      <c r="P816" s="18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6">
        <f t="shared" si="50"/>
        <v>42517.208333333328</v>
      </c>
      <c r="T816" s="6">
        <f t="shared" si="51"/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16">
        <f t="shared" si="48"/>
        <v>130</v>
      </c>
      <c r="P817" s="18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6">
        <f t="shared" si="50"/>
        <v>43068.25</v>
      </c>
      <c r="T817" s="6">
        <f t="shared" si="51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16">
        <f t="shared" si="48"/>
        <v>615</v>
      </c>
      <c r="P818" s="18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6">
        <f t="shared" si="50"/>
        <v>41680.25</v>
      </c>
      <c r="T818" s="6">
        <f t="shared" si="51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16">
        <f t="shared" si="48"/>
        <v>369</v>
      </c>
      <c r="P819" s="18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6">
        <f t="shared" si="50"/>
        <v>43589.208333333328</v>
      </c>
      <c r="T819" s="6">
        <f t="shared" si="51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16">
        <f t="shared" si="48"/>
        <v>1095</v>
      </c>
      <c r="P820" s="18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6">
        <f t="shared" si="50"/>
        <v>43486.25</v>
      </c>
      <c r="T820" s="6">
        <f t="shared" si="51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16">
        <f t="shared" si="48"/>
        <v>51</v>
      </c>
      <c r="P821" s="18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6">
        <f t="shared" si="50"/>
        <v>41237.25</v>
      </c>
      <c r="T821" s="6">
        <f t="shared" si="51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16">
        <f t="shared" si="48"/>
        <v>801</v>
      </c>
      <c r="P822" s="18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6">
        <f t="shared" si="50"/>
        <v>43310.208333333328</v>
      </c>
      <c r="T822" s="6">
        <f t="shared" si="51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16">
        <f t="shared" si="48"/>
        <v>291</v>
      </c>
      <c r="P823" s="18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6">
        <f t="shared" si="50"/>
        <v>42794.25</v>
      </c>
      <c r="T823" s="6">
        <f t="shared" si="51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16">
        <f t="shared" si="48"/>
        <v>350</v>
      </c>
      <c r="P824" s="18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6">
        <f t="shared" si="50"/>
        <v>41698.25</v>
      </c>
      <c r="T824" s="6">
        <f t="shared" si="51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16">
        <f t="shared" si="48"/>
        <v>357</v>
      </c>
      <c r="P825" s="18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6">
        <f t="shared" si="50"/>
        <v>41892.208333333336</v>
      </c>
      <c r="T825" s="6">
        <f t="shared" si="51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16">
        <f t="shared" si="48"/>
        <v>126</v>
      </c>
      <c r="P826" s="18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6">
        <f t="shared" si="50"/>
        <v>40348.208333333336</v>
      </c>
      <c r="T826" s="6">
        <f t="shared" si="51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16">
        <f t="shared" si="48"/>
        <v>388</v>
      </c>
      <c r="P827" s="18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6">
        <f t="shared" si="50"/>
        <v>42941.208333333328</v>
      </c>
      <c r="T827" s="6">
        <f t="shared" si="51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16">
        <f t="shared" si="48"/>
        <v>457</v>
      </c>
      <c r="P828" s="18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6">
        <f t="shared" si="50"/>
        <v>40525.25</v>
      </c>
      <c r="T828" s="6">
        <f t="shared" si="51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16">
        <f t="shared" si="48"/>
        <v>267</v>
      </c>
      <c r="P829" s="18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6">
        <f t="shared" si="50"/>
        <v>40666.208333333336</v>
      </c>
      <c r="T829" s="6">
        <f t="shared" si="51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16">
        <f t="shared" si="48"/>
        <v>69</v>
      </c>
      <c r="P830" s="18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6">
        <f t="shared" si="50"/>
        <v>43340.208333333328</v>
      </c>
      <c r="T830" s="6">
        <f t="shared" si="51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16">
        <f t="shared" si="48"/>
        <v>51</v>
      </c>
      <c r="P831" s="18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6">
        <f t="shared" si="50"/>
        <v>42164.208333333328</v>
      </c>
      <c r="T831" s="6">
        <f t="shared" si="51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16">
        <f t="shared" si="48"/>
        <v>1</v>
      </c>
      <c r="P832" s="18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6">
        <f t="shared" si="50"/>
        <v>43103.25</v>
      </c>
      <c r="T832" s="6">
        <f t="shared" si="51"/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16">
        <f t="shared" si="48"/>
        <v>109</v>
      </c>
      <c r="P833" s="18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6">
        <f t="shared" si="50"/>
        <v>40994.208333333336</v>
      </c>
      <c r="T833" s="6">
        <f t="shared" si="51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16">
        <f t="shared" si="48"/>
        <v>315</v>
      </c>
      <c r="P834" s="18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6">
        <f t="shared" si="50"/>
        <v>42299.208333333328</v>
      </c>
      <c r="T834" s="6">
        <f t="shared" si="51"/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16">
        <f t="shared" ref="O835:O898" si="52">ROUND(E835/D835*100,0)</f>
        <v>158</v>
      </c>
      <c r="P835" s="18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6">
        <f t="shared" ref="S835:S898" si="54">(((J835/60)/60)/24)+DATE(1970,1,1)</f>
        <v>40588.25</v>
      </c>
      <c r="T835" s="6">
        <f t="shared" ref="T835:T898" si="55">(((K835/60)/60)/24)+DATE(1970,1,1)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16">
        <f t="shared" si="52"/>
        <v>154</v>
      </c>
      <c r="P836" s="18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6">
        <f t="shared" si="54"/>
        <v>41448.208333333336</v>
      </c>
      <c r="T836" s="6">
        <f t="shared" si="55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16">
        <f t="shared" si="52"/>
        <v>90</v>
      </c>
      <c r="P837" s="18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6">
        <f t="shared" si="54"/>
        <v>42063.25</v>
      </c>
      <c r="T837" s="6">
        <f t="shared" si="55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16">
        <f t="shared" si="52"/>
        <v>75</v>
      </c>
      <c r="P838" s="1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6">
        <f t="shared" si="54"/>
        <v>40214.25</v>
      </c>
      <c r="T838" s="6">
        <f t="shared" si="55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16">
        <f t="shared" si="52"/>
        <v>853</v>
      </c>
      <c r="P839" s="18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6">
        <f t="shared" si="54"/>
        <v>40629.208333333336</v>
      </c>
      <c r="T839" s="6">
        <f t="shared" si="55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16">
        <f t="shared" si="52"/>
        <v>139</v>
      </c>
      <c r="P840" s="18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6">
        <f t="shared" si="54"/>
        <v>43370.208333333328</v>
      </c>
      <c r="T840" s="6">
        <f t="shared" si="55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16">
        <f t="shared" si="52"/>
        <v>190</v>
      </c>
      <c r="P841" s="18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6">
        <f t="shared" si="54"/>
        <v>41715.208333333336</v>
      </c>
      <c r="T841" s="6">
        <f t="shared" si="55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6">
        <f t="shared" si="52"/>
        <v>100</v>
      </c>
      <c r="P842" s="18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6">
        <f t="shared" si="54"/>
        <v>41836.208333333336</v>
      </c>
      <c r="T842" s="6">
        <f t="shared" si="55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16">
        <f t="shared" si="52"/>
        <v>143</v>
      </c>
      <c r="P843" s="18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6">
        <f t="shared" si="54"/>
        <v>42419.25</v>
      </c>
      <c r="T843" s="6">
        <f t="shared" si="55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16">
        <f t="shared" si="52"/>
        <v>563</v>
      </c>
      <c r="P844" s="18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6">
        <f t="shared" si="54"/>
        <v>43266.208333333328</v>
      </c>
      <c r="T844" s="6">
        <f t="shared" si="55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16">
        <f t="shared" si="52"/>
        <v>31</v>
      </c>
      <c r="P845" s="18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6">
        <f t="shared" si="54"/>
        <v>43338.208333333328</v>
      </c>
      <c r="T845" s="6">
        <f t="shared" si="55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6">
        <f t="shared" si="52"/>
        <v>99</v>
      </c>
      <c r="P846" s="18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6">
        <f t="shared" si="54"/>
        <v>40930.25</v>
      </c>
      <c r="T846" s="6">
        <f t="shared" si="55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16">
        <f t="shared" si="52"/>
        <v>198</v>
      </c>
      <c r="P847" s="18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6">
        <f t="shared" si="54"/>
        <v>43235.208333333328</v>
      </c>
      <c r="T847" s="6">
        <f t="shared" si="55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16">
        <f t="shared" si="52"/>
        <v>509</v>
      </c>
      <c r="P848" s="1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6">
        <f t="shared" si="54"/>
        <v>43302.208333333328</v>
      </c>
      <c r="T848" s="6">
        <f t="shared" si="55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16">
        <f t="shared" si="52"/>
        <v>238</v>
      </c>
      <c r="P849" s="18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6">
        <f t="shared" si="54"/>
        <v>43107.25</v>
      </c>
      <c r="T849" s="6">
        <f t="shared" si="55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16">
        <f t="shared" si="52"/>
        <v>338</v>
      </c>
      <c r="P850" s="18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6">
        <f t="shared" si="54"/>
        <v>40341.208333333336</v>
      </c>
      <c r="T850" s="6">
        <f t="shared" si="55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16">
        <f t="shared" si="52"/>
        <v>133</v>
      </c>
      <c r="P851" s="18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6">
        <f t="shared" si="54"/>
        <v>40948.25</v>
      </c>
      <c r="T851" s="6">
        <f t="shared" si="55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16">
        <f t="shared" si="52"/>
        <v>1</v>
      </c>
      <c r="P852" s="18">
        <f t="shared" si="53"/>
        <v>1</v>
      </c>
      <c r="Q852" t="str" cm="1">
        <f t="array" ref="Q852:R852">_xlfn.TEXTSPLIT(N852,"/")</f>
        <v>music</v>
      </c>
      <c r="R852" t="str">
        <v>rock</v>
      </c>
      <c r="S852" s="6">
        <f t="shared" si="54"/>
        <v>40866.25</v>
      </c>
      <c r="T852" s="6">
        <f t="shared" si="55"/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16">
        <f t="shared" si="52"/>
        <v>208</v>
      </c>
      <c r="P853" s="18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6">
        <f t="shared" si="54"/>
        <v>41031.208333333336</v>
      </c>
      <c r="T853" s="6">
        <f t="shared" si="55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16">
        <f t="shared" si="52"/>
        <v>51</v>
      </c>
      <c r="P854" s="18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6">
        <f t="shared" si="54"/>
        <v>40740.208333333336</v>
      </c>
      <c r="T854" s="6">
        <f t="shared" si="55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16">
        <f t="shared" si="52"/>
        <v>652</v>
      </c>
      <c r="P855" s="18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6">
        <f t="shared" si="54"/>
        <v>40714.208333333336</v>
      </c>
      <c r="T855" s="6">
        <f t="shared" si="55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16">
        <f t="shared" si="52"/>
        <v>114</v>
      </c>
      <c r="P856" s="18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6">
        <f t="shared" si="54"/>
        <v>43787.25</v>
      </c>
      <c r="T856" s="6">
        <f t="shared" si="55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16">
        <f t="shared" si="52"/>
        <v>102</v>
      </c>
      <c r="P857" s="18">
        <f t="shared" si="53"/>
        <v>53</v>
      </c>
      <c r="Q857" t="str" cm="1">
        <f t="array" ref="Q857:R857">_xlfn.TEXTSPLIT(N857,"/")</f>
        <v>theater</v>
      </c>
      <c r="R857" t="str">
        <v>plays</v>
      </c>
      <c r="S857" s="6">
        <f t="shared" si="54"/>
        <v>40712.208333333336</v>
      </c>
      <c r="T857" s="6">
        <f t="shared" si="55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16">
        <f t="shared" si="52"/>
        <v>357</v>
      </c>
      <c r="P858" s="1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6">
        <f t="shared" si="54"/>
        <v>41023.208333333336</v>
      </c>
      <c r="T858" s="6">
        <f t="shared" si="55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16">
        <f t="shared" si="52"/>
        <v>140</v>
      </c>
      <c r="P859" s="18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6">
        <f t="shared" si="54"/>
        <v>40944.25</v>
      </c>
      <c r="T859" s="6">
        <f t="shared" si="55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16">
        <f t="shared" si="52"/>
        <v>69</v>
      </c>
      <c r="P860" s="18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6">
        <f t="shared" si="54"/>
        <v>43211.208333333328</v>
      </c>
      <c r="T860" s="6">
        <f t="shared" si="55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16">
        <f t="shared" si="52"/>
        <v>36</v>
      </c>
      <c r="P861" s="18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6">
        <f t="shared" si="54"/>
        <v>41334.25</v>
      </c>
      <c r="T861" s="6">
        <f t="shared" si="55"/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16">
        <f t="shared" si="52"/>
        <v>252</v>
      </c>
      <c r="P862" s="18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6">
        <f t="shared" si="54"/>
        <v>43515.25</v>
      </c>
      <c r="T862" s="6">
        <f t="shared" si="55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16">
        <f t="shared" si="52"/>
        <v>106</v>
      </c>
      <c r="P863" s="18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6">
        <f t="shared" si="54"/>
        <v>40258.208333333336</v>
      </c>
      <c r="T863" s="6">
        <f t="shared" si="55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16">
        <f t="shared" si="52"/>
        <v>187</v>
      </c>
      <c r="P864" s="18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6">
        <f t="shared" si="54"/>
        <v>40756.208333333336</v>
      </c>
      <c r="T864" s="6">
        <f t="shared" si="55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16">
        <f t="shared" si="52"/>
        <v>387</v>
      </c>
      <c r="P865" s="18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6">
        <f t="shared" si="54"/>
        <v>42172.208333333328</v>
      </c>
      <c r="T865" s="6">
        <f t="shared" si="55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16">
        <f t="shared" si="52"/>
        <v>347</v>
      </c>
      <c r="P866" s="18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4"/>
        <v>42601.208333333328</v>
      </c>
      <c r="T866" s="6">
        <f t="shared" si="55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16">
        <f t="shared" si="52"/>
        <v>186</v>
      </c>
      <c r="P867" s="18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6">
        <f t="shared" si="54"/>
        <v>41897.208333333336</v>
      </c>
      <c r="T867" s="6">
        <f t="shared" si="55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6">
        <f t="shared" si="52"/>
        <v>43</v>
      </c>
      <c r="P868" s="1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6">
        <f t="shared" si="54"/>
        <v>40671.208333333336</v>
      </c>
      <c r="T868" s="6">
        <f t="shared" si="55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16">
        <f t="shared" si="52"/>
        <v>162</v>
      </c>
      <c r="P869" s="18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4"/>
        <v>43382.208333333328</v>
      </c>
      <c r="T869" s="6">
        <f t="shared" si="55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16">
        <f t="shared" si="52"/>
        <v>185</v>
      </c>
      <c r="P870" s="18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6">
        <f t="shared" si="54"/>
        <v>41559.208333333336</v>
      </c>
      <c r="T870" s="6">
        <f t="shared" si="55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16">
        <f t="shared" si="52"/>
        <v>24</v>
      </c>
      <c r="P871" s="18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6">
        <f t="shared" si="54"/>
        <v>40350.208333333336</v>
      </c>
      <c r="T871" s="6">
        <f t="shared" si="55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16">
        <f t="shared" si="52"/>
        <v>90</v>
      </c>
      <c r="P872" s="18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6">
        <f t="shared" si="54"/>
        <v>42240.208333333328</v>
      </c>
      <c r="T872" s="6">
        <f t="shared" si="55"/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16">
        <f t="shared" si="52"/>
        <v>273</v>
      </c>
      <c r="P873" s="18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6">
        <f t="shared" si="54"/>
        <v>43040.208333333328</v>
      </c>
      <c r="T873" s="6">
        <f t="shared" si="55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16">
        <f t="shared" si="52"/>
        <v>170</v>
      </c>
      <c r="P874" s="18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4"/>
        <v>43346.208333333328</v>
      </c>
      <c r="T874" s="6">
        <f t="shared" si="55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16">
        <f t="shared" si="52"/>
        <v>188</v>
      </c>
      <c r="P875" s="18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6">
        <f t="shared" si="54"/>
        <v>41647.25</v>
      </c>
      <c r="T875" s="6">
        <f t="shared" si="55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16">
        <f t="shared" si="52"/>
        <v>347</v>
      </c>
      <c r="P876" s="18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6">
        <f t="shared" si="54"/>
        <v>40291.208333333336</v>
      </c>
      <c r="T876" s="6">
        <f t="shared" si="55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16">
        <f t="shared" si="52"/>
        <v>69</v>
      </c>
      <c r="P877" s="18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6">
        <f t="shared" si="54"/>
        <v>40556.25</v>
      </c>
      <c r="T877" s="6">
        <f t="shared" si="55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16">
        <f t="shared" si="52"/>
        <v>25</v>
      </c>
      <c r="P878" s="1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6">
        <f t="shared" si="54"/>
        <v>43624.208333333328</v>
      </c>
      <c r="T878" s="6">
        <f t="shared" si="55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16">
        <f t="shared" si="52"/>
        <v>77</v>
      </c>
      <c r="P879" s="18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6">
        <f t="shared" si="54"/>
        <v>42577.208333333328</v>
      </c>
      <c r="T879" s="6">
        <f t="shared" si="55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16">
        <f t="shared" si="52"/>
        <v>37</v>
      </c>
      <c r="P880" s="18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6">
        <f t="shared" si="54"/>
        <v>43845.25</v>
      </c>
      <c r="T880" s="6">
        <f t="shared" si="55"/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16">
        <f t="shared" si="52"/>
        <v>544</v>
      </c>
      <c r="P881" s="18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6">
        <f t="shared" si="54"/>
        <v>42788.25</v>
      </c>
      <c r="T881" s="6">
        <f t="shared" si="55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16">
        <f t="shared" si="52"/>
        <v>229</v>
      </c>
      <c r="P882" s="18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6">
        <f t="shared" si="54"/>
        <v>43667.208333333328</v>
      </c>
      <c r="T882" s="6">
        <f t="shared" si="55"/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16">
        <f t="shared" si="52"/>
        <v>39</v>
      </c>
      <c r="P883" s="18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6">
        <f t="shared" si="54"/>
        <v>42194.208333333328</v>
      </c>
      <c r="T883" s="6">
        <f t="shared" si="55"/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16">
        <f t="shared" si="52"/>
        <v>370</v>
      </c>
      <c r="P884" s="18">
        <f t="shared" si="53"/>
        <v>37</v>
      </c>
      <c r="Q884" t="str" cm="1">
        <f t="array" ref="Q884:R884">_xlfn.TEXTSPLIT(N884,"/")</f>
        <v>theater</v>
      </c>
      <c r="R884" t="str">
        <v>plays</v>
      </c>
      <c r="S884" s="6">
        <f t="shared" si="54"/>
        <v>42025.25</v>
      </c>
      <c r="T884" s="6">
        <f t="shared" si="55"/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16">
        <f t="shared" si="52"/>
        <v>238</v>
      </c>
      <c r="P885" s="18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6">
        <f t="shared" si="54"/>
        <v>40323.208333333336</v>
      </c>
      <c r="T885" s="6">
        <f t="shared" si="55"/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16">
        <f t="shared" si="52"/>
        <v>64</v>
      </c>
      <c r="P886" s="18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6">
        <f t="shared" si="54"/>
        <v>41763.208333333336</v>
      </c>
      <c r="T886" s="6">
        <f t="shared" si="55"/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16">
        <f t="shared" si="52"/>
        <v>118</v>
      </c>
      <c r="P887" s="18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6">
        <f t="shared" si="54"/>
        <v>40335.208333333336</v>
      </c>
      <c r="T887" s="6">
        <f t="shared" si="55"/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16">
        <f t="shared" si="52"/>
        <v>85</v>
      </c>
      <c r="P888" s="1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6">
        <f t="shared" si="54"/>
        <v>40416.208333333336</v>
      </c>
      <c r="T888" s="6">
        <f t="shared" si="55"/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16">
        <f t="shared" si="52"/>
        <v>29</v>
      </c>
      <c r="P889" s="18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6">
        <f t="shared" si="54"/>
        <v>42202.208333333328</v>
      </c>
      <c r="T889" s="6">
        <f t="shared" si="55"/>
        <v>42249.208333333328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16">
        <f t="shared" si="52"/>
        <v>210</v>
      </c>
      <c r="P890" s="18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6">
        <f t="shared" si="54"/>
        <v>42836.208333333328</v>
      </c>
      <c r="T890" s="6">
        <f t="shared" si="55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16">
        <f t="shared" si="52"/>
        <v>170</v>
      </c>
      <c r="P891" s="18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6">
        <f t="shared" si="54"/>
        <v>41710.208333333336</v>
      </c>
      <c r="T891" s="6">
        <f t="shared" si="55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16">
        <f t="shared" si="52"/>
        <v>116</v>
      </c>
      <c r="P892" s="18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6">
        <f t="shared" si="54"/>
        <v>43640.208333333328</v>
      </c>
      <c r="T892" s="6">
        <f t="shared" si="55"/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16">
        <f t="shared" si="52"/>
        <v>259</v>
      </c>
      <c r="P893" s="18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6">
        <f t="shared" si="54"/>
        <v>40880.25</v>
      </c>
      <c r="T893" s="6">
        <f t="shared" si="55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16">
        <f t="shared" si="52"/>
        <v>231</v>
      </c>
      <c r="P894" s="18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6">
        <f t="shared" si="54"/>
        <v>40319.208333333336</v>
      </c>
      <c r="T894" s="6">
        <f t="shared" si="55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16">
        <f t="shared" si="52"/>
        <v>128</v>
      </c>
      <c r="P895" s="18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6">
        <f t="shared" si="54"/>
        <v>42170.208333333328</v>
      </c>
      <c r="T895" s="6">
        <f t="shared" si="55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16">
        <f t="shared" si="52"/>
        <v>189</v>
      </c>
      <c r="P896" s="18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6">
        <f t="shared" si="54"/>
        <v>41466.208333333336</v>
      </c>
      <c r="T896" s="6">
        <f t="shared" si="55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16">
        <f t="shared" si="52"/>
        <v>7</v>
      </c>
      <c r="P897" s="18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6">
        <f t="shared" si="54"/>
        <v>43134.25</v>
      </c>
      <c r="T897" s="6">
        <f t="shared" si="55"/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16">
        <f t="shared" si="52"/>
        <v>774</v>
      </c>
      <c r="P898" s="18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6">
        <f t="shared" si="54"/>
        <v>40738.208333333336</v>
      </c>
      <c r="T898" s="6">
        <f t="shared" si="55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16">
        <f t="shared" ref="O899:O962" si="56">ROUND(E899/D899*100,0)</f>
        <v>28</v>
      </c>
      <c r="P899" s="18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6">
        <f t="shared" ref="S899:S962" si="58">(((J899/60)/60)/24)+DATE(1970,1,1)</f>
        <v>43583.208333333328</v>
      </c>
      <c r="T899" s="6">
        <f t="shared" ref="T899:T962" si="59">(((K899/60)/60)/24)+DATE(1970,1,1)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16">
        <f t="shared" si="56"/>
        <v>52</v>
      </c>
      <c r="P900" s="18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6">
        <f t="shared" si="58"/>
        <v>43815.25</v>
      </c>
      <c r="T900" s="6">
        <f t="shared" si="59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16">
        <f t="shared" si="56"/>
        <v>407</v>
      </c>
      <c r="P901" s="18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6">
        <f t="shared" si="58"/>
        <v>41554.208333333336</v>
      </c>
      <c r="T901" s="6">
        <f t="shared" si="59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16">
        <f t="shared" si="56"/>
        <v>2</v>
      </c>
      <c r="P902" s="18">
        <f t="shared" si="57"/>
        <v>2</v>
      </c>
      <c r="Q902" t="str" cm="1">
        <f t="array" ref="Q902:R902">_xlfn.TEXTSPLIT(N902,"/")</f>
        <v>technology</v>
      </c>
      <c r="R902" t="str">
        <v>web</v>
      </c>
      <c r="S902" s="6">
        <f t="shared" si="58"/>
        <v>41901.208333333336</v>
      </c>
      <c r="T902" s="6">
        <f t="shared" si="59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16">
        <f t="shared" si="56"/>
        <v>156</v>
      </c>
      <c r="P903" s="18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6">
        <f t="shared" si="58"/>
        <v>43298.208333333328</v>
      </c>
      <c r="T903" s="6">
        <f t="shared" si="59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16">
        <f t="shared" si="56"/>
        <v>252</v>
      </c>
      <c r="P904" s="18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6">
        <f t="shared" si="58"/>
        <v>42399.25</v>
      </c>
      <c r="T904" s="6">
        <f t="shared" si="59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6">
        <f t="shared" si="56"/>
        <v>2</v>
      </c>
      <c r="P905" s="18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6">
        <f t="shared" si="58"/>
        <v>41034.208333333336</v>
      </c>
      <c r="T905" s="6">
        <f t="shared" si="59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16">
        <f t="shared" si="56"/>
        <v>12</v>
      </c>
      <c r="P906" s="18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8"/>
        <v>41186.208333333336</v>
      </c>
      <c r="T906" s="6">
        <f t="shared" si="59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16">
        <f t="shared" si="56"/>
        <v>164</v>
      </c>
      <c r="P907" s="18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6">
        <f t="shared" si="58"/>
        <v>41536.208333333336</v>
      </c>
      <c r="T907" s="6">
        <f t="shared" si="59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16">
        <f t="shared" si="56"/>
        <v>163</v>
      </c>
      <c r="P908" s="1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6">
        <f t="shared" si="58"/>
        <v>42868.208333333328</v>
      </c>
      <c r="T908" s="6">
        <f t="shared" si="59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16">
        <f t="shared" si="56"/>
        <v>20</v>
      </c>
      <c r="P909" s="18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6">
        <f t="shared" si="58"/>
        <v>40660.208333333336</v>
      </c>
      <c r="T909" s="6">
        <f t="shared" si="59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16">
        <f t="shared" si="56"/>
        <v>319</v>
      </c>
      <c r="P910" s="18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6">
        <f t="shared" si="58"/>
        <v>41031.208333333336</v>
      </c>
      <c r="T910" s="6">
        <f t="shared" si="59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16">
        <f t="shared" si="56"/>
        <v>479</v>
      </c>
      <c r="P911" s="18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6">
        <f t="shared" si="58"/>
        <v>43255.208333333328</v>
      </c>
      <c r="T911" s="6">
        <f t="shared" si="59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6">
        <f t="shared" si="56"/>
        <v>20</v>
      </c>
      <c r="P912" s="18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6">
        <f t="shared" si="58"/>
        <v>42026.25</v>
      </c>
      <c r="T912" s="6">
        <f t="shared" si="59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16">
        <f t="shared" si="56"/>
        <v>199</v>
      </c>
      <c r="P913" s="18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6">
        <f t="shared" si="58"/>
        <v>43717.208333333328</v>
      </c>
      <c r="T913" s="6">
        <f t="shared" si="59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16">
        <f t="shared" si="56"/>
        <v>795</v>
      </c>
      <c r="P914" s="18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6">
        <f t="shared" si="58"/>
        <v>41157.208333333336</v>
      </c>
      <c r="T914" s="6">
        <f t="shared" si="59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16">
        <f t="shared" si="56"/>
        <v>51</v>
      </c>
      <c r="P915" s="18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6">
        <f t="shared" si="58"/>
        <v>43597.208333333328</v>
      </c>
      <c r="T915" s="6">
        <f t="shared" si="59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16">
        <f t="shared" si="56"/>
        <v>57</v>
      </c>
      <c r="P916" s="18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6">
        <f t="shared" si="58"/>
        <v>41490.208333333336</v>
      </c>
      <c r="T916" s="6">
        <f t="shared" si="59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16">
        <f t="shared" si="56"/>
        <v>156</v>
      </c>
      <c r="P917" s="18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6">
        <f t="shared" si="58"/>
        <v>42976.208333333328</v>
      </c>
      <c r="T917" s="6">
        <f t="shared" si="59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16">
        <f t="shared" si="56"/>
        <v>36</v>
      </c>
      <c r="P918" s="1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6">
        <f t="shared" si="58"/>
        <v>41991.25</v>
      </c>
      <c r="T918" s="6">
        <f t="shared" si="59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6">
        <f t="shared" si="56"/>
        <v>58</v>
      </c>
      <c r="P919" s="18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6">
        <f t="shared" si="58"/>
        <v>40722.208333333336</v>
      </c>
      <c r="T919" s="6">
        <f t="shared" si="59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16">
        <f t="shared" si="56"/>
        <v>237</v>
      </c>
      <c r="P920" s="18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8"/>
        <v>41117.208333333336</v>
      </c>
      <c r="T920" s="6">
        <f t="shared" si="59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16">
        <f t="shared" si="56"/>
        <v>59</v>
      </c>
      <c r="P921" s="18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6">
        <f t="shared" si="58"/>
        <v>43022.208333333328</v>
      </c>
      <c r="T921" s="6">
        <f t="shared" si="59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16">
        <f t="shared" si="56"/>
        <v>183</v>
      </c>
      <c r="P922" s="18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6">
        <f t="shared" si="58"/>
        <v>43503.25</v>
      </c>
      <c r="T922" s="6">
        <f t="shared" si="59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16">
        <f t="shared" si="56"/>
        <v>1</v>
      </c>
      <c r="P923" s="18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6">
        <f t="shared" si="58"/>
        <v>40951.25</v>
      </c>
      <c r="T923" s="6">
        <f t="shared" si="59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16">
        <f t="shared" si="56"/>
        <v>176</v>
      </c>
      <c r="P924" s="18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8"/>
        <v>43443.25</v>
      </c>
      <c r="T924" s="6">
        <f t="shared" si="59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16">
        <f t="shared" si="56"/>
        <v>238</v>
      </c>
      <c r="P925" s="18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8"/>
        <v>40373.208333333336</v>
      </c>
      <c r="T925" s="6">
        <f t="shared" si="59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16">
        <f t="shared" si="56"/>
        <v>488</v>
      </c>
      <c r="P926" s="18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6">
        <f t="shared" si="58"/>
        <v>43769.208333333328</v>
      </c>
      <c r="T926" s="6">
        <f t="shared" si="59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16">
        <f t="shared" si="56"/>
        <v>224</v>
      </c>
      <c r="P927" s="18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6">
        <f t="shared" si="58"/>
        <v>43000.208333333328</v>
      </c>
      <c r="T927" s="6">
        <f t="shared" si="59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16">
        <f t="shared" si="56"/>
        <v>18</v>
      </c>
      <c r="P928" s="1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6">
        <f t="shared" si="58"/>
        <v>42502.208333333328</v>
      </c>
      <c r="T928" s="6">
        <f t="shared" si="59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16">
        <f t="shared" si="56"/>
        <v>46</v>
      </c>
      <c r="P929" s="18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6">
        <f t="shared" si="58"/>
        <v>41102.208333333336</v>
      </c>
      <c r="T929" s="6">
        <f t="shared" si="59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16">
        <f t="shared" si="56"/>
        <v>117</v>
      </c>
      <c r="P930" s="18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6">
        <f t="shared" si="58"/>
        <v>41637.25</v>
      </c>
      <c r="T930" s="6">
        <f t="shared" si="59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16">
        <f t="shared" si="56"/>
        <v>217</v>
      </c>
      <c r="P931" s="18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6">
        <f t="shared" si="58"/>
        <v>42858.208333333328</v>
      </c>
      <c r="T931" s="6">
        <f t="shared" si="59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16">
        <f t="shared" si="56"/>
        <v>112</v>
      </c>
      <c r="P932" s="18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6">
        <f t="shared" si="58"/>
        <v>42060.25</v>
      </c>
      <c r="T932" s="6">
        <f t="shared" si="59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16">
        <f t="shared" si="56"/>
        <v>73</v>
      </c>
      <c r="P933" s="18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6">
        <f t="shared" si="58"/>
        <v>41818.208333333336</v>
      </c>
      <c r="T933" s="6">
        <f t="shared" si="59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16">
        <f t="shared" si="56"/>
        <v>212</v>
      </c>
      <c r="P934" s="18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6">
        <f t="shared" si="58"/>
        <v>41709.208333333336</v>
      </c>
      <c r="T934" s="6">
        <f t="shared" si="59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16">
        <f t="shared" si="56"/>
        <v>240</v>
      </c>
      <c r="P935" s="18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6">
        <f t="shared" si="58"/>
        <v>41372.208333333336</v>
      </c>
      <c r="T935" s="6">
        <f t="shared" si="59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16">
        <f t="shared" si="56"/>
        <v>182</v>
      </c>
      <c r="P936" s="18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6">
        <f t="shared" si="58"/>
        <v>42422.25</v>
      </c>
      <c r="T936" s="6">
        <f t="shared" si="59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16">
        <f t="shared" si="56"/>
        <v>164</v>
      </c>
      <c r="P937" s="18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6">
        <f t="shared" si="58"/>
        <v>42209.208333333328</v>
      </c>
      <c r="T937" s="6">
        <f t="shared" si="59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16">
        <f t="shared" si="56"/>
        <v>2</v>
      </c>
      <c r="P938" s="18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6">
        <f t="shared" si="58"/>
        <v>43668.208333333328</v>
      </c>
      <c r="T938" s="6">
        <f t="shared" si="59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6">
        <f t="shared" si="56"/>
        <v>50</v>
      </c>
      <c r="P939" s="18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6">
        <f t="shared" si="58"/>
        <v>42334.25</v>
      </c>
      <c r="T939" s="6">
        <f t="shared" si="59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16">
        <f t="shared" si="56"/>
        <v>110</v>
      </c>
      <c r="P940" s="18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6">
        <f t="shared" si="58"/>
        <v>43263.208333333328</v>
      </c>
      <c r="T940" s="6">
        <f t="shared" si="59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16">
        <f t="shared" si="56"/>
        <v>49</v>
      </c>
      <c r="P941" s="18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6">
        <f t="shared" si="58"/>
        <v>40670.208333333336</v>
      </c>
      <c r="T941" s="6">
        <f t="shared" si="59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6">
        <f t="shared" si="56"/>
        <v>62</v>
      </c>
      <c r="P942" s="18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6">
        <f t="shared" si="58"/>
        <v>41244.25</v>
      </c>
      <c r="T942" s="6">
        <f t="shared" si="59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16">
        <f t="shared" si="56"/>
        <v>13</v>
      </c>
      <c r="P943" s="18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6">
        <f t="shared" si="58"/>
        <v>40552.25</v>
      </c>
      <c r="T943" s="6">
        <f t="shared" si="59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16">
        <f t="shared" si="56"/>
        <v>65</v>
      </c>
      <c r="P944" s="18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6">
        <f t="shared" si="58"/>
        <v>40568.25</v>
      </c>
      <c r="T944" s="6">
        <f t="shared" si="59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16">
        <f t="shared" si="56"/>
        <v>160</v>
      </c>
      <c r="P945" s="18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6">
        <f t="shared" si="58"/>
        <v>41906.208333333336</v>
      </c>
      <c r="T945" s="6">
        <f t="shared" si="59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16">
        <f t="shared" si="56"/>
        <v>81</v>
      </c>
      <c r="P946" s="18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6">
        <f t="shared" si="58"/>
        <v>42776.25</v>
      </c>
      <c r="T946" s="6">
        <f t="shared" si="59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6">
        <f t="shared" si="56"/>
        <v>32</v>
      </c>
      <c r="P947" s="18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6">
        <f t="shared" si="58"/>
        <v>41004.208333333336</v>
      </c>
      <c r="T947" s="6">
        <f t="shared" si="59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16">
        <f t="shared" si="56"/>
        <v>10</v>
      </c>
      <c r="P948" s="18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6">
        <f t="shared" si="58"/>
        <v>40710.208333333336</v>
      </c>
      <c r="T948" s="6">
        <f t="shared" si="59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16">
        <f t="shared" si="56"/>
        <v>27</v>
      </c>
      <c r="P949" s="18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6">
        <f t="shared" si="58"/>
        <v>41908.208333333336</v>
      </c>
      <c r="T949" s="6">
        <f t="shared" si="59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6">
        <f t="shared" si="56"/>
        <v>63</v>
      </c>
      <c r="P950" s="18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6">
        <f t="shared" si="58"/>
        <v>41985.25</v>
      </c>
      <c r="T950" s="6">
        <f t="shared" si="59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16">
        <f t="shared" si="56"/>
        <v>161</v>
      </c>
      <c r="P951" s="18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6">
        <f t="shared" si="58"/>
        <v>42112.208333333328</v>
      </c>
      <c r="T951" s="6">
        <f t="shared" si="59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16">
        <f t="shared" si="56"/>
        <v>5</v>
      </c>
      <c r="P952" s="18">
        <f t="shared" si="57"/>
        <v>5</v>
      </c>
      <c r="Q952" t="str" cm="1">
        <f t="array" ref="Q952:R952">_xlfn.TEXTSPLIT(N952,"/")</f>
        <v>theater</v>
      </c>
      <c r="R952" t="str">
        <v>plays</v>
      </c>
      <c r="S952" s="6">
        <f t="shared" si="58"/>
        <v>43571.208333333328</v>
      </c>
      <c r="T952" s="6">
        <f t="shared" si="59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16">
        <f t="shared" si="56"/>
        <v>1097</v>
      </c>
      <c r="P953" s="18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6">
        <f t="shared" si="58"/>
        <v>42730.25</v>
      </c>
      <c r="T953" s="6">
        <f t="shared" si="59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6">
        <f t="shared" si="56"/>
        <v>70</v>
      </c>
      <c r="P954" s="18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6">
        <f t="shared" si="58"/>
        <v>42591.208333333328</v>
      </c>
      <c r="T954" s="6">
        <f t="shared" si="59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16">
        <f t="shared" si="56"/>
        <v>60</v>
      </c>
      <c r="P955" s="18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8"/>
        <v>42358.25</v>
      </c>
      <c r="T955" s="6">
        <f t="shared" si="59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16">
        <f t="shared" si="56"/>
        <v>367</v>
      </c>
      <c r="P956" s="18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6">
        <f t="shared" si="58"/>
        <v>41174.208333333336</v>
      </c>
      <c r="T956" s="6">
        <f t="shared" si="59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16">
        <f t="shared" si="56"/>
        <v>1109</v>
      </c>
      <c r="P957" s="18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6">
        <f t="shared" si="58"/>
        <v>41238.25</v>
      </c>
      <c r="T957" s="6">
        <f t="shared" si="59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16">
        <f t="shared" si="56"/>
        <v>19</v>
      </c>
      <c r="P958" s="1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8"/>
        <v>42360.25</v>
      </c>
      <c r="T958" s="6">
        <f t="shared" si="59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16">
        <f t="shared" si="56"/>
        <v>127</v>
      </c>
      <c r="P959" s="18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6">
        <f t="shared" si="58"/>
        <v>40955.25</v>
      </c>
      <c r="T959" s="6">
        <f t="shared" si="59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16">
        <f t="shared" si="56"/>
        <v>735</v>
      </c>
      <c r="P960" s="18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6">
        <f t="shared" si="58"/>
        <v>40350.208333333336</v>
      </c>
      <c r="T960" s="6">
        <f t="shared" si="59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16">
        <f t="shared" si="56"/>
        <v>5</v>
      </c>
      <c r="P961" s="18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6">
        <f t="shared" si="58"/>
        <v>40357.208333333336</v>
      </c>
      <c r="T961" s="6">
        <f t="shared" si="59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16">
        <f t="shared" si="56"/>
        <v>85</v>
      </c>
      <c r="P962" s="18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6">
        <f t="shared" si="58"/>
        <v>42408.25</v>
      </c>
      <c r="T962" s="6">
        <f t="shared" si="59"/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16">
        <f t="shared" ref="O963:O1001" si="60">ROUND(E963/D963*100,0)</f>
        <v>119</v>
      </c>
      <c r="P963" s="18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6">
        <f t="shared" ref="S963:S1001" si="62">(((J963/60)/60)/24)+DATE(1970,1,1)</f>
        <v>40591.25</v>
      </c>
      <c r="T963" s="6">
        <f t="shared" ref="T963:T1001" si="63">(((K963/60)/60)/24)+DATE(1970,1,1)</f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16">
        <f t="shared" si="60"/>
        <v>296</v>
      </c>
      <c r="P964" s="18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6">
        <f t="shared" si="62"/>
        <v>41592.25</v>
      </c>
      <c r="T964" s="6">
        <f t="shared" si="63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16">
        <f t="shared" si="60"/>
        <v>85</v>
      </c>
      <c r="P965" s="18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6">
        <f t="shared" si="62"/>
        <v>40607.25</v>
      </c>
      <c r="T965" s="6">
        <f t="shared" si="63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16">
        <f t="shared" si="60"/>
        <v>356</v>
      </c>
      <c r="P966" s="18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6">
        <f t="shared" si="62"/>
        <v>42135.208333333328</v>
      </c>
      <c r="T966" s="6">
        <f t="shared" si="63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16">
        <f t="shared" si="60"/>
        <v>386</v>
      </c>
      <c r="P967" s="18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6">
        <f t="shared" si="62"/>
        <v>40203.25</v>
      </c>
      <c r="T967" s="6">
        <f t="shared" si="63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16">
        <f t="shared" si="60"/>
        <v>792</v>
      </c>
      <c r="P968" s="18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6">
        <f t="shared" si="62"/>
        <v>42901.208333333328</v>
      </c>
      <c r="T968" s="6">
        <f t="shared" si="63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16">
        <f t="shared" si="60"/>
        <v>137</v>
      </c>
      <c r="P969" s="18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6">
        <f t="shared" si="62"/>
        <v>41005.208333333336</v>
      </c>
      <c r="T969" s="6">
        <f t="shared" si="63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16">
        <f t="shared" si="60"/>
        <v>338</v>
      </c>
      <c r="P970" s="18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6">
        <f t="shared" si="62"/>
        <v>40544.25</v>
      </c>
      <c r="T970" s="6">
        <f t="shared" si="63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16">
        <f t="shared" si="60"/>
        <v>108</v>
      </c>
      <c r="P971" s="18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6">
        <f t="shared" si="62"/>
        <v>43821.25</v>
      </c>
      <c r="T971" s="6">
        <f t="shared" si="63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16">
        <f t="shared" si="60"/>
        <v>61</v>
      </c>
      <c r="P972" s="18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6">
        <f t="shared" si="62"/>
        <v>40672.208333333336</v>
      </c>
      <c r="T972" s="6">
        <f t="shared" si="63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16">
        <f t="shared" si="60"/>
        <v>28</v>
      </c>
      <c r="P973" s="18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6">
        <f t="shared" si="62"/>
        <v>41555.208333333336</v>
      </c>
      <c r="T973" s="6">
        <f t="shared" si="63"/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16">
        <f t="shared" si="60"/>
        <v>228</v>
      </c>
      <c r="P974" s="18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6">
        <f t="shared" si="62"/>
        <v>41792.208333333336</v>
      </c>
      <c r="T974" s="6">
        <f t="shared" si="63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16">
        <f t="shared" si="60"/>
        <v>22</v>
      </c>
      <c r="P975" s="18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6">
        <f t="shared" si="62"/>
        <v>40522.25</v>
      </c>
      <c r="T975" s="6">
        <f t="shared" si="63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16">
        <f t="shared" si="60"/>
        <v>374</v>
      </c>
      <c r="P976" s="18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6">
        <f t="shared" si="62"/>
        <v>41412.208333333336</v>
      </c>
      <c r="T976" s="6">
        <f t="shared" si="63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16">
        <f t="shared" si="60"/>
        <v>155</v>
      </c>
      <c r="P977" s="18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6">
        <f t="shared" si="62"/>
        <v>42337.25</v>
      </c>
      <c r="T977" s="6">
        <f t="shared" si="63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16">
        <f t="shared" si="60"/>
        <v>322</v>
      </c>
      <c r="P978" s="18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6">
        <f t="shared" si="62"/>
        <v>40571.25</v>
      </c>
      <c r="T978" s="6">
        <f t="shared" si="63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16">
        <f t="shared" si="60"/>
        <v>74</v>
      </c>
      <c r="P979" s="18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6">
        <f t="shared" si="62"/>
        <v>43138.25</v>
      </c>
      <c r="T979" s="6">
        <f t="shared" si="63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16">
        <f t="shared" si="60"/>
        <v>864</v>
      </c>
      <c r="P980" s="18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6">
        <f t="shared" si="62"/>
        <v>42686.25</v>
      </c>
      <c r="T980" s="6">
        <f t="shared" si="63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16">
        <f t="shared" si="60"/>
        <v>143</v>
      </c>
      <c r="P981" s="18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6">
        <f t="shared" si="62"/>
        <v>42078.208333333328</v>
      </c>
      <c r="T981" s="6">
        <f t="shared" si="63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16">
        <f t="shared" si="60"/>
        <v>40</v>
      </c>
      <c r="P982" s="18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6">
        <f t="shared" si="62"/>
        <v>42307.208333333328</v>
      </c>
      <c r="T982" s="6">
        <f t="shared" si="63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16">
        <f t="shared" si="60"/>
        <v>178</v>
      </c>
      <c r="P983" s="18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6">
        <f t="shared" si="62"/>
        <v>43094.25</v>
      </c>
      <c r="T983" s="6">
        <f t="shared" si="63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16">
        <f t="shared" si="60"/>
        <v>85</v>
      </c>
      <c r="P984" s="18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6">
        <f t="shared" si="62"/>
        <v>40743.208333333336</v>
      </c>
      <c r="T984" s="6">
        <f t="shared" si="63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16">
        <f t="shared" si="60"/>
        <v>146</v>
      </c>
      <c r="P985" s="18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6">
        <f t="shared" si="62"/>
        <v>43681.208333333328</v>
      </c>
      <c r="T985" s="6">
        <f t="shared" si="63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16">
        <f t="shared" si="60"/>
        <v>152</v>
      </c>
      <c r="P986" s="18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6">
        <f t="shared" si="62"/>
        <v>43716.208333333328</v>
      </c>
      <c r="T986" s="6">
        <f t="shared" si="63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16">
        <f t="shared" si="60"/>
        <v>67</v>
      </c>
      <c r="P987" s="18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6">
        <f t="shared" si="62"/>
        <v>41614.25</v>
      </c>
      <c r="T987" s="6">
        <f t="shared" si="63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16">
        <f t="shared" si="60"/>
        <v>40</v>
      </c>
      <c r="P988" s="1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6">
        <f t="shared" si="62"/>
        <v>40638.208333333336</v>
      </c>
      <c r="T988" s="6">
        <f t="shared" si="63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16">
        <f t="shared" si="60"/>
        <v>217</v>
      </c>
      <c r="P989" s="18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6">
        <f t="shared" si="62"/>
        <v>42852.208333333328</v>
      </c>
      <c r="T989" s="6">
        <f t="shared" si="63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16">
        <f t="shared" si="60"/>
        <v>52</v>
      </c>
      <c r="P990" s="18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2"/>
        <v>42686.25</v>
      </c>
      <c r="T990" s="6">
        <f t="shared" si="63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16">
        <f t="shared" si="60"/>
        <v>500</v>
      </c>
      <c r="P991" s="18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6">
        <f t="shared" si="62"/>
        <v>43571.208333333328</v>
      </c>
      <c r="T991" s="6">
        <f t="shared" si="63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16">
        <f t="shared" si="60"/>
        <v>88</v>
      </c>
      <c r="P992" s="18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6">
        <f t="shared" si="62"/>
        <v>42432.25</v>
      </c>
      <c r="T992" s="6">
        <f t="shared" si="63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16">
        <f t="shared" si="60"/>
        <v>113</v>
      </c>
      <c r="P993" s="18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6">
        <f t="shared" si="62"/>
        <v>41907.208333333336</v>
      </c>
      <c r="T993" s="6">
        <f t="shared" si="63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16">
        <f t="shared" si="60"/>
        <v>427</v>
      </c>
      <c r="P994" s="18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6">
        <f t="shared" si="62"/>
        <v>43227.208333333328</v>
      </c>
      <c r="T994" s="6">
        <f t="shared" si="63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6">
        <f t="shared" si="60"/>
        <v>78</v>
      </c>
      <c r="P995" s="18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2"/>
        <v>42362.25</v>
      </c>
      <c r="T995" s="6">
        <f t="shared" si="63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16">
        <f t="shared" si="60"/>
        <v>52</v>
      </c>
      <c r="P996" s="18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6">
        <f t="shared" si="62"/>
        <v>41929.208333333336</v>
      </c>
      <c r="T996" s="6">
        <f t="shared" si="63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16">
        <f t="shared" si="60"/>
        <v>157</v>
      </c>
      <c r="P997" s="18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6">
        <f t="shared" si="62"/>
        <v>43408.208333333328</v>
      </c>
      <c r="T997" s="6">
        <f t="shared" si="63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16">
        <f t="shared" si="60"/>
        <v>73</v>
      </c>
      <c r="P998" s="18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6">
        <f t="shared" si="62"/>
        <v>41276.25</v>
      </c>
      <c r="T998" s="6">
        <f t="shared" si="63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6">
        <f t="shared" si="60"/>
        <v>61</v>
      </c>
      <c r="P999" s="18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6">
        <f t="shared" si="62"/>
        <v>41659.25</v>
      </c>
      <c r="T999" s="6">
        <f t="shared" si="63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16">
        <f t="shared" si="60"/>
        <v>57</v>
      </c>
      <c r="P1000" s="18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6">
        <f t="shared" si="62"/>
        <v>40220.25</v>
      </c>
      <c r="T1000" s="6">
        <f t="shared" si="63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6">
        <f t="shared" si="60"/>
        <v>57</v>
      </c>
      <c r="P1001" s="18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6">
        <f t="shared" si="62"/>
        <v>42550.208333333328</v>
      </c>
      <c r="T1001" s="6">
        <f t="shared" si="63"/>
        <v>42557.208333333328</v>
      </c>
    </row>
  </sheetData>
  <autoFilter ref="A1:O1001" xr:uid="{00000000-0001-0000-0000-000000000000}"/>
  <conditionalFormatting sqref="F1:F1048576">
    <cfRule type="cellIs" dxfId="3" priority="15" operator="equal">
      <formula>"live"</formula>
    </cfRule>
    <cfRule type="cellIs" dxfId="2" priority="16" operator="equal">
      <formula>"successful"</formula>
    </cfRule>
    <cfRule type="cellIs" dxfId="1" priority="17" operator="equal">
      <formula>"failed"</formula>
    </cfRule>
  </conditionalFormatting>
  <conditionalFormatting sqref="F2:F1001">
    <cfRule type="cellIs" dxfId="0" priority="14" operator="equal">
      <formula>"canceled"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11AE-9D84-4407-AD0B-BBAEA772EABB}">
  <sheetPr codeName="Sheet2"/>
  <dimension ref="A2:F15"/>
  <sheetViews>
    <sheetView workbookViewId="0">
      <selection activeCell="H10" sqref="H1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2" spans="1:6" x14ac:dyDescent="0.35">
      <c r="A2" s="4" t="s">
        <v>6</v>
      </c>
      <c r="B2" t="s">
        <v>2033</v>
      </c>
    </row>
    <row r="4" spans="1:6" x14ac:dyDescent="0.35">
      <c r="A4" s="4" t="s">
        <v>2037</v>
      </c>
      <c r="B4" s="4" t="s">
        <v>2036</v>
      </c>
    </row>
    <row r="5" spans="1:6" x14ac:dyDescent="0.35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5">
      <c r="A6" s="5" t="s">
        <v>2038</v>
      </c>
      <c r="B6" s="19">
        <v>11</v>
      </c>
      <c r="C6" s="19">
        <v>60</v>
      </c>
      <c r="D6" s="19">
        <v>5</v>
      </c>
      <c r="E6" s="19">
        <v>102</v>
      </c>
      <c r="F6" s="19">
        <v>178</v>
      </c>
    </row>
    <row r="7" spans="1:6" x14ac:dyDescent="0.35">
      <c r="A7" s="5" t="s">
        <v>2039</v>
      </c>
      <c r="B7" s="19">
        <v>4</v>
      </c>
      <c r="C7" s="19">
        <v>20</v>
      </c>
      <c r="D7" s="19"/>
      <c r="E7" s="19">
        <v>22</v>
      </c>
      <c r="F7" s="19">
        <v>46</v>
      </c>
    </row>
    <row r="8" spans="1:6" x14ac:dyDescent="0.35">
      <c r="A8" s="5" t="s">
        <v>2040</v>
      </c>
      <c r="B8" s="19">
        <v>1</v>
      </c>
      <c r="C8" s="19">
        <v>23</v>
      </c>
      <c r="D8" s="19">
        <v>3</v>
      </c>
      <c r="E8" s="19">
        <v>21</v>
      </c>
      <c r="F8" s="19">
        <v>48</v>
      </c>
    </row>
    <row r="9" spans="1:6" x14ac:dyDescent="0.35">
      <c r="A9" s="5" t="s">
        <v>2041</v>
      </c>
      <c r="B9" s="19"/>
      <c r="C9" s="19"/>
      <c r="D9" s="19"/>
      <c r="E9" s="19">
        <v>4</v>
      </c>
      <c r="F9" s="19">
        <v>4</v>
      </c>
    </row>
    <row r="10" spans="1:6" x14ac:dyDescent="0.35">
      <c r="A10" s="5" t="s">
        <v>2042</v>
      </c>
      <c r="B10" s="19">
        <v>10</v>
      </c>
      <c r="C10" s="19">
        <v>66</v>
      </c>
      <c r="D10" s="19"/>
      <c r="E10" s="19">
        <v>99</v>
      </c>
      <c r="F10" s="19">
        <v>175</v>
      </c>
    </row>
    <row r="11" spans="1:6" x14ac:dyDescent="0.35">
      <c r="A11" s="5" t="s">
        <v>2043</v>
      </c>
      <c r="B11" s="19">
        <v>4</v>
      </c>
      <c r="C11" s="19">
        <v>11</v>
      </c>
      <c r="D11" s="19">
        <v>1</v>
      </c>
      <c r="E11" s="19">
        <v>26</v>
      </c>
      <c r="F11" s="19">
        <v>42</v>
      </c>
    </row>
    <row r="12" spans="1:6" x14ac:dyDescent="0.35">
      <c r="A12" s="5" t="s">
        <v>2044</v>
      </c>
      <c r="B12" s="19">
        <v>2</v>
      </c>
      <c r="C12" s="19">
        <v>24</v>
      </c>
      <c r="D12" s="19">
        <v>1</v>
      </c>
      <c r="E12" s="19">
        <v>40</v>
      </c>
      <c r="F12" s="19">
        <v>67</v>
      </c>
    </row>
    <row r="13" spans="1:6" x14ac:dyDescent="0.35">
      <c r="A13" s="5" t="s">
        <v>2045</v>
      </c>
      <c r="B13" s="19">
        <v>2</v>
      </c>
      <c r="C13" s="19">
        <v>28</v>
      </c>
      <c r="D13" s="19">
        <v>2</v>
      </c>
      <c r="E13" s="19">
        <v>64</v>
      </c>
      <c r="F13" s="19">
        <v>96</v>
      </c>
    </row>
    <row r="14" spans="1:6" x14ac:dyDescent="0.35">
      <c r="A14" s="5" t="s">
        <v>2046</v>
      </c>
      <c r="B14" s="19">
        <v>23</v>
      </c>
      <c r="C14" s="19">
        <v>132</v>
      </c>
      <c r="D14" s="19">
        <v>2</v>
      </c>
      <c r="E14" s="19">
        <v>187</v>
      </c>
      <c r="F14" s="19">
        <v>344</v>
      </c>
    </row>
    <row r="15" spans="1:6" x14ac:dyDescent="0.35">
      <c r="A15" s="5" t="s">
        <v>2035</v>
      </c>
      <c r="B15" s="19">
        <v>57</v>
      </c>
      <c r="C15" s="19">
        <v>364</v>
      </c>
      <c r="D15" s="19">
        <v>14</v>
      </c>
      <c r="E15" s="19">
        <v>565</v>
      </c>
      <c r="F15" s="1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DAE9-ABF0-4DBF-A96E-51C0279347BC}">
  <sheetPr codeName="Sheet3"/>
  <dimension ref="A1:F29"/>
  <sheetViews>
    <sheetView topLeftCell="A10" workbookViewId="0">
      <selection activeCell="E18" sqref="E18"/>
    </sheetView>
  </sheetViews>
  <sheetFormatPr defaultRowHeight="15.5" x14ac:dyDescent="0.35"/>
  <cols>
    <col min="1" max="1" width="16.5" bestFit="1" customWidth="1"/>
    <col min="2" max="2" width="15.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4" t="s">
        <v>6</v>
      </c>
      <c r="B1" t="s">
        <v>2033</v>
      </c>
    </row>
    <row r="3" spans="1:6" x14ac:dyDescent="0.35">
      <c r="A3" s="4" t="s">
        <v>2037</v>
      </c>
      <c r="B3" s="4" t="s">
        <v>2036</v>
      </c>
    </row>
    <row r="4" spans="1:6" x14ac:dyDescent="0.35">
      <c r="A4" s="4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5">
      <c r="A5" s="5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5" t="s">
        <v>2056</v>
      </c>
      <c r="E6">
        <v>4</v>
      </c>
      <c r="F6">
        <v>4</v>
      </c>
    </row>
    <row r="7" spans="1:6" x14ac:dyDescent="0.35">
      <c r="A7" s="5" t="s">
        <v>2048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5" t="s">
        <v>2049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5" t="s">
        <v>2057</v>
      </c>
      <c r="C9">
        <v>8</v>
      </c>
      <c r="E9">
        <v>10</v>
      </c>
      <c r="F9">
        <v>18</v>
      </c>
    </row>
    <row r="10" spans="1:6" x14ac:dyDescent="0.35">
      <c r="A10" s="5" t="s">
        <v>2064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5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5" t="s">
        <v>2058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5" t="s">
        <v>2059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5" t="s">
        <v>2060</v>
      </c>
      <c r="C14">
        <v>3</v>
      </c>
      <c r="E14">
        <v>4</v>
      </c>
      <c r="F14">
        <v>7</v>
      </c>
    </row>
    <row r="15" spans="1:6" x14ac:dyDescent="0.35">
      <c r="A15" s="5" t="s">
        <v>2054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5" t="s">
        <v>2065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5" t="s">
        <v>2063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5" t="s">
        <v>2070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5" t="s">
        <v>2066</v>
      </c>
      <c r="C19">
        <v>4</v>
      </c>
      <c r="E19">
        <v>4</v>
      </c>
      <c r="F19">
        <v>8</v>
      </c>
    </row>
    <row r="20" spans="1:6" x14ac:dyDescent="0.35">
      <c r="A20" s="5" t="s">
        <v>2061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5" t="s">
        <v>2050</v>
      </c>
      <c r="C21">
        <v>9</v>
      </c>
      <c r="E21">
        <v>5</v>
      </c>
      <c r="F21">
        <v>14</v>
      </c>
    </row>
    <row r="22" spans="1:6" x14ac:dyDescent="0.35">
      <c r="A22" s="5" t="s">
        <v>2051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5" t="s">
        <v>2052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5" t="s">
        <v>2067</v>
      </c>
      <c r="C24">
        <v>7</v>
      </c>
      <c r="E24">
        <v>14</v>
      </c>
      <c r="F24">
        <v>21</v>
      </c>
    </row>
    <row r="25" spans="1:6" x14ac:dyDescent="0.35">
      <c r="A25" s="5" t="s">
        <v>2055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5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5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5" t="s">
        <v>2062</v>
      </c>
      <c r="E28">
        <v>3</v>
      </c>
      <c r="F28">
        <v>3</v>
      </c>
    </row>
    <row r="29" spans="1:6" x14ac:dyDescent="0.35">
      <c r="A29" s="5" t="s">
        <v>2035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943D-DB92-4619-A070-F01D49E94D21}">
  <sheetPr codeName="Sheet4"/>
  <dimension ref="A1:E18"/>
  <sheetViews>
    <sheetView topLeftCell="A5" workbookViewId="0">
      <selection activeCell="C9" sqref="C9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5" width="10.58203125" bestFit="1" customWidth="1"/>
    <col min="6" max="6" width="11" bestFit="1" customWidth="1"/>
  </cols>
  <sheetData>
    <row r="1" spans="1:5" x14ac:dyDescent="0.35">
      <c r="A1" s="4" t="s">
        <v>2031</v>
      </c>
      <c r="B1" t="s">
        <v>2033</v>
      </c>
    </row>
    <row r="2" spans="1:5" x14ac:dyDescent="0.35">
      <c r="A2" s="4" t="s">
        <v>2085</v>
      </c>
      <c r="B2" t="s">
        <v>2033</v>
      </c>
    </row>
    <row r="4" spans="1:5" x14ac:dyDescent="0.35">
      <c r="A4" s="4" t="s">
        <v>2037</v>
      </c>
      <c r="B4" s="4" t="s">
        <v>2036</v>
      </c>
    </row>
    <row r="5" spans="1:5" x14ac:dyDescent="0.35">
      <c r="A5" s="4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3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7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9EBC-B69F-45ED-8F74-6D8BF66437C2}">
  <dimension ref="B1:J13"/>
  <sheetViews>
    <sheetView zoomScale="70" zoomScaleNormal="70" workbookViewId="0">
      <selection activeCell="J15" sqref="J15"/>
    </sheetView>
  </sheetViews>
  <sheetFormatPr defaultRowHeight="15.5" x14ac:dyDescent="0.35"/>
  <cols>
    <col min="1" max="1" width="12.58203125" customWidth="1"/>
    <col min="2" max="2" width="15.4140625" customWidth="1"/>
    <col min="3" max="3" width="16.33203125" bestFit="1" customWidth="1"/>
    <col min="4" max="4" width="13" bestFit="1" customWidth="1"/>
    <col min="5" max="5" width="15.58203125" bestFit="1" customWidth="1"/>
    <col min="6" max="6" width="11.9140625" bestFit="1" customWidth="1"/>
    <col min="7" max="7" width="18.83203125" bestFit="1" customWidth="1"/>
    <col min="8" max="8" width="15.4140625" bestFit="1" customWidth="1"/>
    <col min="9" max="9" width="18.08203125" bestFit="1" customWidth="1"/>
  </cols>
  <sheetData>
    <row r="1" spans="2:10" x14ac:dyDescent="0.35">
      <c r="B1" s="8" t="s">
        <v>2086</v>
      </c>
      <c r="C1" s="8" t="s">
        <v>2087</v>
      </c>
      <c r="D1" s="8" t="s">
        <v>2088</v>
      </c>
      <c r="E1" s="8" t="s">
        <v>2089</v>
      </c>
      <c r="F1" s="8" t="s">
        <v>2090</v>
      </c>
      <c r="G1" s="8" t="s">
        <v>2091</v>
      </c>
      <c r="H1" s="8" t="s">
        <v>2092</v>
      </c>
      <c r="I1" s="8" t="s">
        <v>2093</v>
      </c>
      <c r="J1" s="8"/>
    </row>
    <row r="2" spans="2:10" x14ac:dyDescent="0.35">
      <c r="B2" s="8" t="s">
        <v>2095</v>
      </c>
      <c r="C2" s="8">
        <f>COUNTIFS(Crowdfunding!$F:$F,"successful",Crowdfunding!$D:$D,"&lt;1000")</f>
        <v>30</v>
      </c>
      <c r="D2" s="8">
        <f>COUNTIFS(Crowdfunding!$F:$F,"failed",Crowdfunding!$D:$D,"&lt;1000")</f>
        <v>20</v>
      </c>
      <c r="E2" s="8">
        <f>COUNTIFS(Crowdfunding!$F:$F,"canceled",Crowdfunding!$D:$D,"&lt;1000")</f>
        <v>1</v>
      </c>
      <c r="F2" s="8">
        <f>SUM(C2:E2)</f>
        <v>51</v>
      </c>
      <c r="G2" s="9">
        <f>C2/F2</f>
        <v>0.58823529411764708</v>
      </c>
      <c r="H2" s="9">
        <f>D2/F2</f>
        <v>0.39215686274509803</v>
      </c>
      <c r="I2" s="9">
        <f>E2/F2</f>
        <v>1.9607843137254902E-2</v>
      </c>
      <c r="J2" s="8"/>
    </row>
    <row r="3" spans="2:10" x14ac:dyDescent="0.35">
      <c r="B3" s="8" t="s">
        <v>2094</v>
      </c>
      <c r="C3" s="8">
        <f>COUNTIFS(Crowdfunding!$F:$F,"successful",Crowdfunding!$D:$D,"&gt;=1000",Crowdfunding!$D:$D,"&lt;=4999")</f>
        <v>191</v>
      </c>
      <c r="D3" s="8">
        <f>COUNTIFS(Crowdfunding!$F:$F,"failed",Crowdfunding!$D:$D,"&gt;=1000",Crowdfunding!$D:$D,"&lt;=4999")</f>
        <v>38</v>
      </c>
      <c r="E3" s="8">
        <f>COUNTIFS(Crowdfunding!$F:$F,"canceled",Crowdfunding!$D:$D,"&gt;=1000",Crowdfunding!$D:$D,"&lt;=4999")</f>
        <v>2</v>
      </c>
      <c r="F3" s="8">
        <f>SUM(C3:E3)</f>
        <v>231</v>
      </c>
      <c r="G3" s="9">
        <f t="shared" ref="G3:G12" si="0">C3/F3</f>
        <v>0.82683982683982682</v>
      </c>
      <c r="H3" s="9">
        <f t="shared" ref="H3:H13" si="1">D3/F3</f>
        <v>0.16450216450216451</v>
      </c>
      <c r="I3" s="9">
        <f t="shared" ref="I3:I13" si="2">E3/F3</f>
        <v>8.658008658008658E-3</v>
      </c>
      <c r="J3" s="8"/>
    </row>
    <row r="4" spans="2:10" x14ac:dyDescent="0.35">
      <c r="B4" s="8" t="s">
        <v>2096</v>
      </c>
      <c r="C4" s="8">
        <f>COUNTIFS(Crowdfunding!$F:$F,"successful",Crowdfunding!$D:$D,"&gt;=5000",Crowdfunding!$D:$D,"&lt;=9999")</f>
        <v>164</v>
      </c>
      <c r="D4" s="8">
        <f>COUNTIFS(Crowdfunding!$F:$F,"failed",Crowdfunding!$D:$D,"&gt;=5000",Crowdfunding!$D:$D,"&lt;=9999")</f>
        <v>126</v>
      </c>
      <c r="E4" s="8">
        <f>COUNTIFS(Crowdfunding!$F:$F,"canceled",Crowdfunding!$D:$D,"&gt;=5000",Crowdfunding!$D:$D,"&lt;=9999")</f>
        <v>25</v>
      </c>
      <c r="F4" s="8">
        <f>SUM(C4:E4)</f>
        <v>315</v>
      </c>
      <c r="G4" s="9">
        <f t="shared" si="0"/>
        <v>0.52063492063492067</v>
      </c>
      <c r="H4" s="9">
        <f t="shared" si="1"/>
        <v>0.4</v>
      </c>
      <c r="I4" s="9">
        <f t="shared" si="2"/>
        <v>7.9365079365079361E-2</v>
      </c>
      <c r="J4" s="8"/>
    </row>
    <row r="5" spans="2:10" x14ac:dyDescent="0.35">
      <c r="B5" s="8" t="s">
        <v>2097</v>
      </c>
      <c r="C5" s="8">
        <f>COUNTIFS(Crowdfunding!$F:$F,"successful",Crowdfunding!$D:$D,"&gt;=10000",Crowdfunding!$D:$D,"&lt;=14999")</f>
        <v>4</v>
      </c>
      <c r="D5" s="8">
        <f>COUNTIFS(Crowdfunding!$F:$F,"failed",Crowdfunding!$D:$D,"&gt;=10000",Crowdfunding!$D:$D,"&lt;=14999")</f>
        <v>5</v>
      </c>
      <c r="E5" s="8">
        <f>COUNTIFS(Crowdfunding!$F:$F,"canceled",Crowdfunding!$D:$D,"&gt;=10000",Crowdfunding!$D:$D,"&lt;=14999")</f>
        <v>0</v>
      </c>
      <c r="F5" s="8">
        <f t="shared" ref="F5:F12" si="3">SUM(C5:E5)</f>
        <v>9</v>
      </c>
      <c r="G5" s="9">
        <f t="shared" si="0"/>
        <v>0.44444444444444442</v>
      </c>
      <c r="H5" s="9">
        <f t="shared" si="1"/>
        <v>0.55555555555555558</v>
      </c>
      <c r="I5" s="9">
        <f t="shared" si="2"/>
        <v>0</v>
      </c>
      <c r="J5" s="8"/>
    </row>
    <row r="6" spans="2:10" x14ac:dyDescent="0.35">
      <c r="B6" s="8" t="s">
        <v>2098</v>
      </c>
      <c r="C6" s="8">
        <f>COUNTIFS(Crowdfunding!$F:$F,"successful",Crowdfunding!$D:$D,"&gt;=15000",Crowdfunding!$D:$D,"&lt;=19999")</f>
        <v>10</v>
      </c>
      <c r="D6" s="8">
        <f>COUNTIFS(Crowdfunding!$F:$F,"failed",Crowdfunding!$D:$D,"&gt;=15000",Crowdfunding!$D:$D,"&lt;=19999")</f>
        <v>0</v>
      </c>
      <c r="E6" s="8">
        <f>COUNTIFS(Crowdfunding!$F:$F,"canceled",Crowdfunding!$D:$D,"&gt;=15000",Crowdfunding!$D:$D,"&lt;=19999")</f>
        <v>0</v>
      </c>
      <c r="F6" s="8">
        <f t="shared" si="3"/>
        <v>10</v>
      </c>
      <c r="G6" s="9">
        <f t="shared" si="0"/>
        <v>1</v>
      </c>
      <c r="H6" s="9">
        <f t="shared" si="1"/>
        <v>0</v>
      </c>
      <c r="I6" s="9">
        <f t="shared" si="2"/>
        <v>0</v>
      </c>
      <c r="J6" s="8"/>
    </row>
    <row r="7" spans="2:10" x14ac:dyDescent="0.35">
      <c r="B7" s="8" t="s">
        <v>2099</v>
      </c>
      <c r="C7" s="8">
        <f>COUNTIFS(Crowdfunding!$F:$F,"successful",Crowdfunding!$D:$D,"&gt;=20000",Crowdfunding!$D:$D,"&lt;=24999")</f>
        <v>7</v>
      </c>
      <c r="D7" s="8">
        <f>COUNTIFS(Crowdfunding!$F:$F,"failed",Crowdfunding!$D:$D,"&gt;=20000",Crowdfunding!$D:$D,"&lt;=24999")</f>
        <v>0</v>
      </c>
      <c r="E7" s="8">
        <f>COUNTIFS(Crowdfunding!$F:$F,"canceled",Crowdfunding!$D:$D,"&gt;=20000",Crowdfunding!$D:$D,"&lt;=24999")</f>
        <v>0</v>
      </c>
      <c r="F7" s="8">
        <f t="shared" si="3"/>
        <v>7</v>
      </c>
      <c r="G7" s="9">
        <f t="shared" si="0"/>
        <v>1</v>
      </c>
      <c r="H7" s="9">
        <f t="shared" si="1"/>
        <v>0</v>
      </c>
      <c r="I7" s="9">
        <f t="shared" si="2"/>
        <v>0</v>
      </c>
      <c r="J7" s="8"/>
    </row>
    <row r="8" spans="2:10" x14ac:dyDescent="0.35">
      <c r="B8" s="8" t="s">
        <v>2100</v>
      </c>
      <c r="C8" s="8">
        <f>COUNTIFS(Crowdfunding!$F:$F,"successful",Crowdfunding!$D:$D,"&gt;=25000",Crowdfunding!$D:$D,"&lt;=29999")</f>
        <v>11</v>
      </c>
      <c r="D8" s="8">
        <f>COUNTIFS(Crowdfunding!$F:$F,"failed",Crowdfunding!$D:$D,"&gt;=25000",Crowdfunding!$D:$D,"&lt;=29999")</f>
        <v>3</v>
      </c>
      <c r="E8" s="8">
        <f>COUNTIFS(Crowdfunding!$F:$F,"canceled",Crowdfunding!$D:$D,"&gt;=25000",Crowdfunding!$D:$D,"&lt;=29999")</f>
        <v>0</v>
      </c>
      <c r="F8" s="8">
        <f t="shared" si="3"/>
        <v>14</v>
      </c>
      <c r="G8" s="9">
        <f t="shared" si="0"/>
        <v>0.7857142857142857</v>
      </c>
      <c r="H8" s="9">
        <f t="shared" si="1"/>
        <v>0.21428571428571427</v>
      </c>
      <c r="I8" s="9">
        <f t="shared" si="2"/>
        <v>0</v>
      </c>
      <c r="J8" s="8"/>
    </row>
    <row r="9" spans="2:10" x14ac:dyDescent="0.35">
      <c r="B9" s="8" t="s">
        <v>2101</v>
      </c>
      <c r="C9" s="8">
        <f>COUNTIFS(Crowdfunding!$F:$F,"successful",Crowdfunding!$D:$D,"&gt;=30000",Crowdfunding!$D:$D,"&lt;=34999")</f>
        <v>7</v>
      </c>
      <c r="D9" s="8">
        <f>COUNTIFS(Crowdfunding!$F:$F,"failed",Crowdfunding!$D:$D,"&gt;=30000",Crowdfunding!$D:$D,"&lt;=34999")</f>
        <v>0</v>
      </c>
      <c r="E9" s="8">
        <f>COUNTIFS(Crowdfunding!$F:$F,"canceled",Crowdfunding!$D:$D,"&gt;=30000",Crowdfunding!$D:$D,"&lt;=34999")</f>
        <v>0</v>
      </c>
      <c r="F9" s="8">
        <f t="shared" si="3"/>
        <v>7</v>
      </c>
      <c r="G9" s="9">
        <f t="shared" si="0"/>
        <v>1</v>
      </c>
      <c r="H9" s="9">
        <f t="shared" si="1"/>
        <v>0</v>
      </c>
      <c r="I9" s="9">
        <f t="shared" si="2"/>
        <v>0</v>
      </c>
      <c r="J9" s="8"/>
    </row>
    <row r="10" spans="2:10" x14ac:dyDescent="0.35">
      <c r="B10" s="8" t="s">
        <v>2102</v>
      </c>
      <c r="C10" s="8">
        <f>COUNTIFS(Crowdfunding!$F:$F,"successful",Crowdfunding!$D:$D,"&gt;=35000",Crowdfunding!$D:$D,"&lt;=39999")</f>
        <v>8</v>
      </c>
      <c r="D10" s="8">
        <f>COUNTIFS(Crowdfunding!$F:$F,"failed",Crowdfunding!$D:$D,"&gt;=35000",Crowdfunding!$D:$D,"&lt;=39999")</f>
        <v>3</v>
      </c>
      <c r="E10" s="8">
        <f>COUNTIFS(Crowdfunding!$F:$F,"canceled",Crowdfunding!$D:$D,"&gt;=35000",Crowdfunding!$D:$D,"&lt;=39999")</f>
        <v>1</v>
      </c>
      <c r="F10" s="8">
        <f t="shared" si="3"/>
        <v>12</v>
      </c>
      <c r="G10" s="9">
        <f t="shared" si="0"/>
        <v>0.66666666666666663</v>
      </c>
      <c r="H10" s="9">
        <f t="shared" si="1"/>
        <v>0.25</v>
      </c>
      <c r="I10" s="9">
        <f t="shared" si="2"/>
        <v>8.3333333333333329E-2</v>
      </c>
      <c r="J10" s="8"/>
    </row>
    <row r="11" spans="2:10" x14ac:dyDescent="0.35">
      <c r="B11" s="8" t="s">
        <v>2103</v>
      </c>
      <c r="C11" s="8">
        <f>COUNTIFS(Crowdfunding!$F:$F,"successful",Crowdfunding!$D:$D,"&gt;=40000",Crowdfunding!$D:$D,"&lt;=44999")</f>
        <v>11</v>
      </c>
      <c r="D11" s="8">
        <f>COUNTIFS(Crowdfunding!$F:$F,"failed",Crowdfunding!$D:$D,"&gt;=40000",Crowdfunding!$D:$D,"&lt;=44999")</f>
        <v>3</v>
      </c>
      <c r="E11" s="8">
        <f>COUNTIFS(Crowdfunding!$F:$F,"canceled",Crowdfunding!$D:$D,"&gt;=40000",Crowdfunding!$D:$D,"&lt;=44999")</f>
        <v>0</v>
      </c>
      <c r="F11" s="8">
        <f t="shared" si="3"/>
        <v>14</v>
      </c>
      <c r="G11" s="9">
        <f t="shared" si="0"/>
        <v>0.7857142857142857</v>
      </c>
      <c r="H11" s="9">
        <f t="shared" si="1"/>
        <v>0.21428571428571427</v>
      </c>
      <c r="I11" s="9">
        <f t="shared" si="2"/>
        <v>0</v>
      </c>
      <c r="J11" s="8"/>
    </row>
    <row r="12" spans="2:10" x14ac:dyDescent="0.35">
      <c r="B12" s="8" t="s">
        <v>2104</v>
      </c>
      <c r="C12" s="8">
        <f>COUNTIFS(Crowdfunding!$F:$F,"successful",Crowdfunding!$D:$D,"&gt;=45000",Crowdfunding!$D:$D,"&lt;=49999")</f>
        <v>8</v>
      </c>
      <c r="D12" s="8">
        <f>COUNTIFS(Crowdfunding!$F:$F,"failed",Crowdfunding!$D:$D,"&gt;=45000",Crowdfunding!$D:$D,"&lt;=49999")</f>
        <v>3</v>
      </c>
      <c r="E12" s="8">
        <f>COUNTIFS(Crowdfunding!$F:$F,"canceled",Crowdfunding!$D:$D,"&gt;=45000",Crowdfunding!$D:$D,"&lt;=49999")</f>
        <v>0</v>
      </c>
      <c r="F12" s="8">
        <f t="shared" si="3"/>
        <v>11</v>
      </c>
      <c r="G12" s="9">
        <f t="shared" si="0"/>
        <v>0.72727272727272729</v>
      </c>
      <c r="H12" s="9">
        <f t="shared" si="1"/>
        <v>0.27272727272727271</v>
      </c>
      <c r="I12" s="9">
        <f t="shared" si="2"/>
        <v>0</v>
      </c>
      <c r="J12" s="8"/>
    </row>
    <row r="13" spans="2:10" x14ac:dyDescent="0.35">
      <c r="B13" s="8" t="s">
        <v>2105</v>
      </c>
      <c r="C13" s="8">
        <f>COUNTIFS(Crowdfunding!$F:$F,"successful",Crowdfunding!$D:$D,"&gt;=50000")</f>
        <v>114</v>
      </c>
      <c r="D13" s="8">
        <f>COUNTIFS(Crowdfunding!$F:$F,"failed",Crowdfunding!$D:$D,"&gt;=50000")</f>
        <v>163</v>
      </c>
      <c r="E13" s="8">
        <f>COUNTIFS(Crowdfunding!$F:$F,"canceled",Crowdfunding!$D:$D,"&gt;=50000")</f>
        <v>28</v>
      </c>
      <c r="F13" s="8">
        <f>SUM(C13:E13)</f>
        <v>305</v>
      </c>
      <c r="G13" s="9">
        <f>C13/F13</f>
        <v>0.3737704918032787</v>
      </c>
      <c r="H13" s="9">
        <f t="shared" si="1"/>
        <v>0.53442622950819674</v>
      </c>
      <c r="I13" s="9">
        <f t="shared" si="2"/>
        <v>9.1803278688524587E-2</v>
      </c>
      <c r="J13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900D-927D-4B16-9839-CB43BBC80BB6}">
  <dimension ref="A1:M566"/>
  <sheetViews>
    <sheetView workbookViewId="0">
      <selection activeCell="L7" sqref="L7"/>
    </sheetView>
  </sheetViews>
  <sheetFormatPr defaultRowHeight="15.5" x14ac:dyDescent="0.35"/>
  <cols>
    <col min="1" max="1" width="8.9140625" bestFit="1" customWidth="1"/>
    <col min="2" max="2" width="12.4140625" bestFit="1" customWidth="1"/>
    <col min="3" max="3" width="12.4140625" customWidth="1"/>
    <col min="5" max="5" width="12.4140625" bestFit="1" customWidth="1"/>
    <col min="9" max="9" width="12.4140625" bestFit="1" customWidth="1"/>
    <col min="10" max="10" width="12.1640625" bestFit="1" customWidth="1"/>
  </cols>
  <sheetData>
    <row r="1" spans="1:13" x14ac:dyDescent="0.35">
      <c r="A1" t="s">
        <v>2106</v>
      </c>
      <c r="B1" t="s">
        <v>2107</v>
      </c>
      <c r="D1" t="s">
        <v>2106</v>
      </c>
      <c r="E1" t="s">
        <v>2107</v>
      </c>
      <c r="H1" s="8"/>
      <c r="I1" s="14" t="s">
        <v>20</v>
      </c>
      <c r="J1" s="14" t="s">
        <v>2108</v>
      </c>
    </row>
    <row r="2" spans="1:13" x14ac:dyDescent="0.35">
      <c r="A2" t="s">
        <v>20</v>
      </c>
      <c r="B2">
        <v>158</v>
      </c>
      <c r="D2" t="s">
        <v>14</v>
      </c>
      <c r="E2">
        <v>0</v>
      </c>
      <c r="H2" s="8" t="s">
        <v>2109</v>
      </c>
      <c r="I2" s="10">
        <f>AVERAGE(B2:B566)</f>
        <v>851.14690265486729</v>
      </c>
      <c r="J2" s="11">
        <f>AVERAGE(E2:E365)</f>
        <v>585.61538461538464</v>
      </c>
    </row>
    <row r="3" spans="1:13" x14ac:dyDescent="0.35">
      <c r="A3" t="s">
        <v>20</v>
      </c>
      <c r="B3">
        <v>1425</v>
      </c>
      <c r="D3" t="s">
        <v>14</v>
      </c>
      <c r="E3">
        <v>24</v>
      </c>
      <c r="H3" s="8" t="s">
        <v>2110</v>
      </c>
      <c r="I3" s="8">
        <f>MEDIAN(B2:B566)</f>
        <v>201</v>
      </c>
      <c r="J3" s="11">
        <f>MEDIAN(E2:E365)</f>
        <v>114.5</v>
      </c>
    </row>
    <row r="4" spans="1:13" x14ac:dyDescent="0.35">
      <c r="A4" t="s">
        <v>20</v>
      </c>
      <c r="B4">
        <v>174</v>
      </c>
      <c r="D4" t="s">
        <v>14</v>
      </c>
      <c r="E4">
        <v>53</v>
      </c>
      <c r="H4" s="8" t="s">
        <v>2111</v>
      </c>
      <c r="I4" s="8">
        <f>MIN(B2:B566)</f>
        <v>16</v>
      </c>
      <c r="J4" s="8">
        <f>MIN(E2:E365)</f>
        <v>0</v>
      </c>
      <c r="L4">
        <f>I4-I5</f>
        <v>-7279</v>
      </c>
      <c r="M4">
        <f>J4-J5</f>
        <v>-6080</v>
      </c>
    </row>
    <row r="5" spans="1:13" x14ac:dyDescent="0.35">
      <c r="A5" t="s">
        <v>20</v>
      </c>
      <c r="B5">
        <v>227</v>
      </c>
      <c r="D5" t="s">
        <v>14</v>
      </c>
      <c r="E5">
        <v>18</v>
      </c>
      <c r="H5" s="8" t="s">
        <v>2112</v>
      </c>
      <c r="I5" s="8">
        <f>MAX(B2:B566)</f>
        <v>7295</v>
      </c>
      <c r="J5" s="8">
        <f>MAX(E2:E365)</f>
        <v>6080</v>
      </c>
    </row>
    <row r="6" spans="1:13" x14ac:dyDescent="0.35">
      <c r="A6" t="s">
        <v>20</v>
      </c>
      <c r="B6">
        <v>220</v>
      </c>
      <c r="D6" t="s">
        <v>14</v>
      </c>
      <c r="E6">
        <v>44</v>
      </c>
      <c r="H6" s="8" t="s">
        <v>2113</v>
      </c>
      <c r="I6" s="12">
        <f>_xlfn.VAR.S(B2:B566)</f>
        <v>1606216.5936295739</v>
      </c>
      <c r="J6" s="13">
        <f>_xlfn.VAR.S(E2:E365)</f>
        <v>924113.45496927318</v>
      </c>
    </row>
    <row r="7" spans="1:13" x14ac:dyDescent="0.35">
      <c r="A7" t="s">
        <v>20</v>
      </c>
      <c r="B7">
        <v>98</v>
      </c>
      <c r="D7" t="s">
        <v>14</v>
      </c>
      <c r="E7">
        <v>27</v>
      </c>
      <c r="H7" s="8" t="s">
        <v>2114</v>
      </c>
      <c r="I7" s="11">
        <f>_xlfn.STDEV.S(B2:B566)</f>
        <v>1267.366006183523</v>
      </c>
      <c r="J7" s="11">
        <f>_xlfn.STDEV.S(E2:E365)</f>
        <v>961.30819978260524</v>
      </c>
    </row>
    <row r="8" spans="1:13" x14ac:dyDescent="0.35">
      <c r="A8" t="s">
        <v>20</v>
      </c>
      <c r="B8">
        <v>100</v>
      </c>
      <c r="D8" t="s">
        <v>14</v>
      </c>
      <c r="E8">
        <v>55</v>
      </c>
    </row>
    <row r="9" spans="1:13" x14ac:dyDescent="0.35">
      <c r="A9" t="s">
        <v>20</v>
      </c>
      <c r="B9">
        <v>1249</v>
      </c>
      <c r="D9" t="s">
        <v>14</v>
      </c>
      <c r="E9">
        <v>200</v>
      </c>
    </row>
    <row r="10" spans="1:13" x14ac:dyDescent="0.35">
      <c r="A10" t="s">
        <v>20</v>
      </c>
      <c r="B10">
        <v>1396</v>
      </c>
      <c r="D10" t="s">
        <v>14</v>
      </c>
      <c r="E10">
        <v>452</v>
      </c>
    </row>
    <row r="11" spans="1:13" x14ac:dyDescent="0.35">
      <c r="A11" t="s">
        <v>20</v>
      </c>
      <c r="B11">
        <v>890</v>
      </c>
      <c r="D11" t="s">
        <v>14</v>
      </c>
      <c r="E11">
        <v>674</v>
      </c>
    </row>
    <row r="12" spans="1:13" x14ac:dyDescent="0.35">
      <c r="A12" t="s">
        <v>20</v>
      </c>
      <c r="B12">
        <v>142</v>
      </c>
      <c r="D12" t="s">
        <v>14</v>
      </c>
      <c r="E12">
        <v>558</v>
      </c>
    </row>
    <row r="13" spans="1:13" x14ac:dyDescent="0.35">
      <c r="A13" t="s">
        <v>20</v>
      </c>
      <c r="B13">
        <v>2673</v>
      </c>
      <c r="D13" t="s">
        <v>14</v>
      </c>
      <c r="E13">
        <v>15</v>
      </c>
    </row>
    <row r="14" spans="1:13" x14ac:dyDescent="0.35">
      <c r="A14" t="s">
        <v>20</v>
      </c>
      <c r="B14">
        <v>163</v>
      </c>
      <c r="D14" t="s">
        <v>14</v>
      </c>
      <c r="E14">
        <v>2307</v>
      </c>
    </row>
    <row r="15" spans="1:13" x14ac:dyDescent="0.35">
      <c r="A15" t="s">
        <v>20</v>
      </c>
      <c r="B15">
        <v>2220</v>
      </c>
      <c r="D15" t="s">
        <v>14</v>
      </c>
      <c r="E15">
        <v>88</v>
      </c>
    </row>
    <row r="16" spans="1:13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sortState xmlns:xlrd2="http://schemas.microsoft.com/office/spreadsheetml/2017/richdata2" ref="A2:B567">
    <sortCondition ref="A2:A5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8259F-F724-406C-8678-42DFF862F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Pivot </vt:lpstr>
      <vt:lpstr>SubCategory Pivot</vt:lpstr>
      <vt:lpstr>Date Created Pivot</vt:lpstr>
      <vt:lpstr>Crowfunding Analysis</vt:lpstr>
      <vt:lpstr>Stat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Shaun Rabe</cp:lastModifiedBy>
  <dcterms:created xsi:type="dcterms:W3CDTF">2021-09-29T18:52:28Z</dcterms:created>
  <dcterms:modified xsi:type="dcterms:W3CDTF">2022-12-22T02:41:31Z</dcterms:modified>
</cp:coreProperties>
</file>